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vladimirmatsov/Documents/GLobalSynergy/GSEducation/УЧЕТ KZ/ВЕБИНАРЫ/Вебинары/Вебинар ФМ_Управление деньгами 01.04.2022/Вебинар ФМ Упр ДДС 23.08.2023/"/>
    </mc:Choice>
  </mc:AlternateContent>
  <xr:revisionPtr revIDLastSave="0" documentId="8_{617CB95E-65F9-1241-A820-15B139CF4AE4}" xr6:coauthVersionLast="47" xr6:coauthVersionMax="47" xr10:uidLastSave="{00000000-0000-0000-0000-000000000000}"/>
  <bookViews>
    <workbookView xWindow="1660" yWindow="780" windowWidth="22660" windowHeight="14120" xr2:uid="{9F332D31-39E7-1547-B39F-6C72D05E7D73}"/>
  </bookViews>
  <sheets>
    <sheet name="БАЛАНС" sheetId="1" r:id="rId1"/>
    <sheet name="ДДС" sheetId="2" r:id="rId2"/>
  </sheets>
  <externalReferences>
    <externalReference r:id="rId3"/>
  </externalReferences>
  <definedNames>
    <definedName name="ЗавершениеПроекта">#REF!</definedName>
    <definedName name="Капитальныйремонт">#REF!</definedName>
    <definedName name="НачалоПроекта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5" i="2" l="1"/>
  <c r="K19" i="2"/>
  <c r="K14" i="2"/>
  <c r="E5" i="2"/>
  <c r="H5" i="2" s="1"/>
  <c r="B36" i="1"/>
  <c r="C36" i="1" s="1"/>
  <c r="D21" i="1"/>
  <c r="C21" i="1"/>
  <c r="C16" i="1"/>
  <c r="G15" i="2"/>
  <c r="E40" i="2"/>
  <c r="E39" i="2"/>
  <c r="G39" i="2" s="1"/>
  <c r="D39" i="2"/>
  <c r="E37" i="2"/>
  <c r="D37" i="2"/>
  <c r="D29" i="2"/>
  <c r="E29" i="2" s="1"/>
  <c r="C29" i="2"/>
  <c r="E28" i="2"/>
  <c r="H28" i="2" s="1"/>
  <c r="K27" i="2"/>
  <c r="E27" i="2"/>
  <c r="H27" i="2" s="1"/>
  <c r="K23" i="2" s="1"/>
  <c r="K26" i="2"/>
  <c r="E26" i="2"/>
  <c r="H26" i="2" s="1"/>
  <c r="D25" i="2"/>
  <c r="E25" i="2" s="1"/>
  <c r="C25" i="2"/>
  <c r="C30" i="2" s="1"/>
  <c r="E24" i="2"/>
  <c r="H24" i="2" s="1"/>
  <c r="K22" i="2" s="1"/>
  <c r="E23" i="2"/>
  <c r="G23" i="2" s="1"/>
  <c r="K13" i="2" s="1"/>
  <c r="D22" i="2"/>
  <c r="E22" i="2" s="1"/>
  <c r="C22" i="2"/>
  <c r="D40" i="2" s="1"/>
  <c r="E21" i="2"/>
  <c r="G21" i="2" s="1"/>
  <c r="K12" i="2" s="1"/>
  <c r="H20" i="2"/>
  <c r="E20" i="2"/>
  <c r="G20" i="2" s="1"/>
  <c r="E19" i="2"/>
  <c r="G19" i="2" s="1"/>
  <c r="K21" i="2" s="1"/>
  <c r="E18" i="2"/>
  <c r="K16" i="2"/>
  <c r="D16" i="2"/>
  <c r="E16" i="2" s="1"/>
  <c r="D15" i="2"/>
  <c r="C15" i="2"/>
  <c r="C16" i="2" s="1"/>
  <c r="E14" i="2"/>
  <c r="K6" i="2" s="1"/>
  <c r="E13" i="2"/>
  <c r="E12" i="2"/>
  <c r="H12" i="2" s="1"/>
  <c r="K11" i="2"/>
  <c r="H11" i="2"/>
  <c r="K18" i="2" s="1"/>
  <c r="G11" i="2"/>
  <c r="E11" i="2"/>
  <c r="D10" i="2"/>
  <c r="C10" i="2"/>
  <c r="D38" i="2" s="1"/>
  <c r="H9" i="2"/>
  <c r="K9" i="2" s="1"/>
  <c r="G9" i="2"/>
  <c r="E9" i="2"/>
  <c r="E8" i="2"/>
  <c r="H8" i="2" s="1"/>
  <c r="K8" i="2" s="1"/>
  <c r="K7" i="2"/>
  <c r="H7" i="2"/>
  <c r="G7" i="2"/>
  <c r="E7" i="2"/>
  <c r="E6" i="2"/>
  <c r="H6" i="2" s="1"/>
  <c r="K17" i="2" s="1"/>
  <c r="K5" i="2"/>
  <c r="K3" i="2"/>
  <c r="B47" i="1"/>
  <c r="F47" i="1" s="1"/>
  <c r="B46" i="1"/>
  <c r="C46" i="1" s="1"/>
  <c r="B45" i="1"/>
  <c r="D45" i="1" s="1"/>
  <c r="B44" i="1"/>
  <c r="E44" i="1" s="1"/>
  <c r="B43" i="1"/>
  <c r="E43" i="1" s="1"/>
  <c r="B42" i="1"/>
  <c r="D42" i="1" s="1"/>
  <c r="B41" i="1"/>
  <c r="F41" i="1" s="1"/>
  <c r="B40" i="1"/>
  <c r="E40" i="1" s="1"/>
  <c r="B39" i="1"/>
  <c r="F39" i="1" s="1"/>
  <c r="B38" i="1"/>
  <c r="C38" i="1" s="1"/>
  <c r="B37" i="1"/>
  <c r="E37" i="1" s="1"/>
  <c r="F32" i="1"/>
  <c r="E32" i="1"/>
  <c r="D32" i="1"/>
  <c r="C32" i="1"/>
  <c r="F31" i="1"/>
  <c r="E31" i="1"/>
  <c r="D31" i="1"/>
  <c r="C31" i="1"/>
  <c r="F30" i="1"/>
  <c r="E30" i="1"/>
  <c r="D30" i="1"/>
  <c r="C30" i="1"/>
  <c r="F29" i="1"/>
  <c r="E29" i="1"/>
  <c r="D29" i="1"/>
  <c r="C29" i="1"/>
  <c r="F28" i="1"/>
  <c r="E28" i="1"/>
  <c r="D28" i="1"/>
  <c r="C28" i="1"/>
  <c r="F27" i="1"/>
  <c r="E27" i="1"/>
  <c r="D27" i="1"/>
  <c r="C27" i="1"/>
  <c r="F26" i="1"/>
  <c r="E26" i="1"/>
  <c r="D26" i="1"/>
  <c r="C26" i="1"/>
  <c r="F25" i="1"/>
  <c r="E25" i="1"/>
  <c r="D25" i="1"/>
  <c r="C25" i="1"/>
  <c r="F24" i="1"/>
  <c r="E24" i="1"/>
  <c r="D24" i="1"/>
  <c r="C24" i="1"/>
  <c r="F23" i="1"/>
  <c r="E23" i="1"/>
  <c r="D23" i="1"/>
  <c r="C23" i="1"/>
  <c r="F22" i="1"/>
  <c r="E22" i="1"/>
  <c r="D22" i="1"/>
  <c r="C22" i="1"/>
  <c r="F21" i="1"/>
  <c r="E21" i="1"/>
  <c r="F16" i="1"/>
  <c r="E16" i="1"/>
  <c r="D16" i="1"/>
  <c r="E36" i="1" l="1"/>
  <c r="E41" i="2"/>
  <c r="F41" i="2" s="1"/>
  <c r="H41" i="2" s="1"/>
  <c r="H32" i="2"/>
  <c r="G5" i="2"/>
  <c r="E38" i="2"/>
  <c r="F36" i="1"/>
  <c r="C40" i="1"/>
  <c r="F46" i="1"/>
  <c r="C43" i="1"/>
  <c r="C41" i="1"/>
  <c r="E38" i="1"/>
  <c r="D41" i="1"/>
  <c r="F43" i="1"/>
  <c r="D46" i="1"/>
  <c r="D43" i="1"/>
  <c r="D38" i="1"/>
  <c r="E41" i="1"/>
  <c r="D40" i="1"/>
  <c r="E46" i="1"/>
  <c r="F38" i="1"/>
  <c r="F44" i="1"/>
  <c r="K24" i="2"/>
  <c r="G40" i="2"/>
  <c r="F40" i="2"/>
  <c r="H40" i="2" s="1"/>
  <c r="H21" i="2"/>
  <c r="G6" i="2"/>
  <c r="G8" i="2"/>
  <c r="G12" i="2"/>
  <c r="K10" i="2" s="1"/>
  <c r="C17" i="2"/>
  <c r="C31" i="2" s="1"/>
  <c r="H19" i="2"/>
  <c r="D30" i="2"/>
  <c r="F39" i="2"/>
  <c r="H39" i="2" s="1"/>
  <c r="D41" i="2"/>
  <c r="H23" i="2"/>
  <c r="E10" i="2"/>
  <c r="E15" i="2"/>
  <c r="G24" i="2"/>
  <c r="G26" i="2"/>
  <c r="G28" i="2"/>
  <c r="D17" i="2"/>
  <c r="G27" i="2"/>
  <c r="D37" i="1"/>
  <c r="C39" i="1"/>
  <c r="F40" i="1"/>
  <c r="E45" i="1"/>
  <c r="C47" i="1"/>
  <c r="F37" i="1"/>
  <c r="D39" i="1"/>
  <c r="E42" i="1"/>
  <c r="C44" i="1"/>
  <c r="F45" i="1"/>
  <c r="D47" i="1"/>
  <c r="C45" i="1"/>
  <c r="C42" i="1"/>
  <c r="D36" i="1"/>
  <c r="E39" i="1"/>
  <c r="F42" i="1"/>
  <c r="D44" i="1"/>
  <c r="E47" i="1"/>
  <c r="C37" i="1"/>
  <c r="G41" i="2" l="1"/>
  <c r="D31" i="2"/>
  <c r="E31" i="2" s="1"/>
  <c r="E30" i="2"/>
  <c r="H15" i="2"/>
  <c r="G32" i="2"/>
  <c r="E17" i="2"/>
  <c r="G38" i="2"/>
  <c r="F38" i="2"/>
  <c r="H38" i="2" s="1"/>
</calcChain>
</file>

<file path=xl/sharedStrings.xml><?xml version="1.0" encoding="utf-8"?>
<sst xmlns="http://schemas.openxmlformats.org/spreadsheetml/2006/main" count="98" uniqueCount="86">
  <si>
    <t>Таблица 1 - Данные за прошлый год (млн тенге)</t>
  </si>
  <si>
    <t>Месяцы</t>
  </si>
  <si>
    <t>Доход от реализации</t>
  </si>
  <si>
    <t>Кредиторская задолженность</t>
  </si>
  <si>
    <t xml:space="preserve">Дебиторская задолженность </t>
  </si>
  <si>
    <t>Запасы</t>
  </si>
  <si>
    <t>Валовая прибыль</t>
  </si>
  <si>
    <t>Коэффициент корреляции</t>
  </si>
  <si>
    <t>Таблица 2 - Прогноз на предстоящий год</t>
  </si>
  <si>
    <t>Доход от реализации (План продаж)</t>
  </si>
  <si>
    <t>Таблица 3 - Прогноз на предстоящий год с учетом темпа роста продаж</t>
  </si>
  <si>
    <t xml:space="preserve"> </t>
  </si>
  <si>
    <t xml:space="preserve">Отчет об источниках и использовании фондов </t>
  </si>
  <si>
    <t>Отчет о ДДС (косвенный метод) ( в тыс. тенге)</t>
  </si>
  <si>
    <t>20Х2</t>
  </si>
  <si>
    <t>20Х3</t>
  </si>
  <si>
    <t>Изм.</t>
  </si>
  <si>
    <t>Источники фондов</t>
  </si>
  <si>
    <t>Использование фондов</t>
  </si>
  <si>
    <t>Активы</t>
  </si>
  <si>
    <t xml:space="preserve">Операционная деятельность </t>
  </si>
  <si>
    <t>Денежные средства</t>
  </si>
  <si>
    <t>Чистая прибыль</t>
  </si>
  <si>
    <t>Краткосрочные финансовые инвестиции</t>
  </si>
  <si>
    <t>Амортизация</t>
  </si>
  <si>
    <t>Краткосрочная дебиторская задолженность</t>
  </si>
  <si>
    <t>Уменьшение кр. дебиторской задолженности</t>
  </si>
  <si>
    <t>Увеличение  запасов</t>
  </si>
  <si>
    <t>Налоговые активы</t>
  </si>
  <si>
    <t>Увеличение налоговых активов</t>
  </si>
  <si>
    <t>Итого краткосрочных активов</t>
  </si>
  <si>
    <t>Уменьшение долг. дебиторской задолженности</t>
  </si>
  <si>
    <t>Долгосрочные финансовые инвестиции</t>
  </si>
  <si>
    <t>Уменьшение кр.кредиторской задолженности</t>
  </si>
  <si>
    <t>Долгосрочная дебиторская задолженность</t>
  </si>
  <si>
    <t xml:space="preserve">Увеличение обязательств по налогам </t>
  </si>
  <si>
    <t>Первоначальная стоимость основные средства</t>
  </si>
  <si>
    <t>Увеличение долг. Кредиторской задолженности</t>
  </si>
  <si>
    <t xml:space="preserve">        Начисленная амортизация</t>
  </si>
  <si>
    <t>Чистый денежный поток от операционной деятельности</t>
  </si>
  <si>
    <t xml:space="preserve">        Остаточная стоимость </t>
  </si>
  <si>
    <t xml:space="preserve">Инвестиционная деятельность </t>
  </si>
  <si>
    <t>Итого долгосрочных активов</t>
  </si>
  <si>
    <t>Увеличение основных средств</t>
  </si>
  <si>
    <t>Всего активов</t>
  </si>
  <si>
    <t>Увеличение кр. Финансовых инвестиций</t>
  </si>
  <si>
    <t>Обязательства и капитал</t>
  </si>
  <si>
    <t>Увеличение долг. Финансовых инвестиций</t>
  </si>
  <si>
    <t>Краткосрочные финансовые обязательства</t>
  </si>
  <si>
    <t>Чистый денежный поток от инвестиционной  деятельности</t>
  </si>
  <si>
    <t>Краткосрочная кредиторская задолженность</t>
  </si>
  <si>
    <t>Финансовая деятельность</t>
  </si>
  <si>
    <t>Обязательства по платежам в бюджет</t>
  </si>
  <si>
    <t>Увеличение краткосрочных фин обязательств</t>
  </si>
  <si>
    <t>Итого краткосрочных обязательств</t>
  </si>
  <si>
    <t>Уменьшение долгосрочных  фин обязательств</t>
  </si>
  <si>
    <t>Долгосрочная кредиторская задолженность</t>
  </si>
  <si>
    <t>Уменьшение резервов</t>
  </si>
  <si>
    <t>Долгосрочные финансовые обязательства</t>
  </si>
  <si>
    <t>Чистый денежный поток от финансовой деятельности</t>
  </si>
  <si>
    <t>Итого долгосрочных обязательств</t>
  </si>
  <si>
    <t>Чистый денежный поток</t>
  </si>
  <si>
    <t>Уставный капитал (простые акции)</t>
  </si>
  <si>
    <t>Денежные средства на начало периода</t>
  </si>
  <si>
    <t>Резервы</t>
  </si>
  <si>
    <t>Денежные средства на конец периода</t>
  </si>
  <si>
    <t xml:space="preserve">Нераспределенная прибыль </t>
  </si>
  <si>
    <t>Итого капитала и резервов</t>
  </si>
  <si>
    <t>Всего пассивов</t>
  </si>
  <si>
    <t>ПРОВЕРОЧНАЯ СТРОКА</t>
  </si>
  <si>
    <t>Итого источников и использования</t>
  </si>
  <si>
    <t>Критериальные значение</t>
  </si>
  <si>
    <t>Абсолютное изменение</t>
  </si>
  <si>
    <t>Темп роста, %</t>
  </si>
  <si>
    <t>Прирост, %</t>
  </si>
  <si>
    <t>Коэффициент текущей ликвидности (CR)</t>
  </si>
  <si>
    <t>не мнее 2,0</t>
  </si>
  <si>
    <t>Кислотный тест (QR)</t>
  </si>
  <si>
    <t>не менее 1,0</t>
  </si>
  <si>
    <t>Коэффициент абсолютной ликвидности (ALR)</t>
  </si>
  <si>
    <t>не менее 0,5</t>
  </si>
  <si>
    <t>Двухфакторная модель Альтмана</t>
  </si>
  <si>
    <t>меньше 0</t>
  </si>
  <si>
    <r>
      <rPr>
        <b/>
        <sz val="18"/>
        <color rgb="FFFF0000"/>
        <rFont val="Calibri (Основной текст)"/>
        <charset val="204"/>
      </rPr>
      <t>ПРОБЛЕМА</t>
    </r>
    <r>
      <rPr>
        <sz val="18"/>
        <color theme="1"/>
        <rFont val="Calibri"/>
        <family val="2"/>
        <scheme val="minor"/>
      </rPr>
      <t xml:space="preserve">
За анализируемый период коэффициенты ликвидности снизились.  Причиной такого снижения стал рост краткосрочных финансовых обязательств  на 130 тыс тенге и обязательств по налогам на 60 тыс тенге.</t>
    </r>
  </si>
  <si>
    <r>
      <rPr>
        <b/>
        <sz val="18"/>
        <color rgb="FF0070C0"/>
        <rFont val="Calibri (Основной текст)"/>
        <charset val="204"/>
      </rPr>
      <t>РЕШЕНИЕ</t>
    </r>
    <r>
      <rPr>
        <sz val="16"/>
        <color theme="1"/>
        <rFont val="Calibri (Основной текст)"/>
        <charset val="204"/>
      </rPr>
      <t xml:space="preserve">
1)  дополнительная эмиссия акций
2) увеличить фонд нераспределенной прибыли 
3) уменьшить долгосрочную дебиторскую задолженность путем предоставления дебиторам контрактной скидки 
 4) реализовать неиспользуемую часть основных средств компании</t>
    </r>
  </si>
  <si>
    <t>Баланс ( в млн тенге)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</si>
</sst>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_-;\-* #,##0_-;_-* &quot;-&quot;??_-;_-@_-"/>
    <numFmt numFmtId="165" formatCode="0.000"/>
    <numFmt numFmtId="166" formatCode="0.0%"/>
  </numFmts>
  <fonts count="21" x14ac:knownFonts="1"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i/>
      <sz val="12"/>
      <color rgb="FF000000"/>
      <name val="Calibri"/>
      <family val="2"/>
      <scheme val="minor"/>
    </font>
    <font>
      <b/>
      <i/>
      <sz val="12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2"/>
      <color rgb="FF0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charset val="204"/>
      <scheme val="minor"/>
    </font>
    <font>
      <b/>
      <sz val="18"/>
      <color rgb="FFFF0000"/>
      <name val="Calibri (Основной текст)"/>
      <charset val="204"/>
    </font>
    <font>
      <sz val="18"/>
      <color theme="1"/>
      <name val="Calibri"/>
      <family val="2"/>
      <scheme val="minor"/>
    </font>
    <font>
      <sz val="16"/>
      <color theme="1"/>
      <name val="Calibri (Основной текст)"/>
      <charset val="204"/>
    </font>
    <font>
      <b/>
      <sz val="18"/>
      <color rgb="FF0070C0"/>
      <name val="Calibri (Основной текст)"/>
      <charset val="204"/>
    </font>
    <font>
      <sz val="12"/>
      <color rgb="FF0070C0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2">
    <xf numFmtId="0" fontId="0" fillId="0" borderId="0" xfId="0"/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164" fontId="0" fillId="0" borderId="2" xfId="1" applyNumberFormat="1" applyFont="1" applyBorder="1" applyAlignment="1">
      <alignment horizontal="center" vertical="center" wrapText="1"/>
    </xf>
    <xf numFmtId="164" fontId="2" fillId="2" borderId="2" xfId="1" applyNumberFormat="1" applyFont="1" applyFill="1" applyBorder="1" applyAlignment="1">
      <alignment horizontal="center" vertical="center" wrapText="1"/>
    </xf>
    <xf numFmtId="164" fontId="2" fillId="3" borderId="2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0" fillId="0" borderId="1" xfId="1" applyNumberFormat="1" applyFont="1" applyBorder="1" applyAlignment="1">
      <alignment vertical="center" wrapText="1"/>
    </xf>
    <xf numFmtId="164" fontId="0" fillId="2" borderId="1" xfId="1" applyNumberFormat="1" applyFont="1" applyFill="1" applyBorder="1" applyAlignment="1">
      <alignment horizontal="center"/>
    </xf>
    <xf numFmtId="164" fontId="0" fillId="3" borderId="1" xfId="1" applyNumberFormat="1" applyFont="1" applyFill="1" applyBorder="1" applyAlignment="1">
      <alignment horizontal="center"/>
    </xf>
    <xf numFmtId="164" fontId="0" fillId="0" borderId="3" xfId="1" applyNumberFormat="1" applyFont="1" applyBorder="1" applyAlignment="1">
      <alignment vertical="center" wrapText="1"/>
    </xf>
    <xf numFmtId="164" fontId="0" fillId="2" borderId="3" xfId="1" applyNumberFormat="1" applyFont="1" applyFill="1" applyBorder="1" applyAlignment="1">
      <alignment horizontal="center"/>
    </xf>
    <xf numFmtId="164" fontId="0" fillId="3" borderId="3" xfId="1" applyNumberFormat="1" applyFont="1" applyFill="1" applyBorder="1" applyAlignment="1">
      <alignment horizontal="center"/>
    </xf>
    <xf numFmtId="164" fontId="0" fillId="0" borderId="2" xfId="1" applyNumberFormat="1" applyFont="1" applyBorder="1" applyAlignment="1">
      <alignment vertical="center" wrapText="1"/>
    </xf>
    <xf numFmtId="164" fontId="0" fillId="2" borderId="2" xfId="1" applyNumberFormat="1" applyFont="1" applyFill="1" applyBorder="1" applyAlignment="1">
      <alignment horizontal="center"/>
    </xf>
    <xf numFmtId="164" fontId="0" fillId="3" borderId="2" xfId="1" applyNumberFormat="1" applyFont="1" applyFill="1" applyBorder="1" applyAlignment="1">
      <alignment horizontal="center"/>
    </xf>
    <xf numFmtId="164" fontId="2" fillId="0" borderId="2" xfId="1" applyNumberFormat="1" applyFont="1" applyBorder="1" applyAlignment="1">
      <alignment horizontal="center" vertical="center" wrapText="1"/>
    </xf>
    <xf numFmtId="164" fontId="0" fillId="0" borderId="1" xfId="1" applyNumberFormat="1" applyFont="1" applyBorder="1" applyAlignment="1">
      <alignment horizontal="center"/>
    </xf>
    <xf numFmtId="164" fontId="0" fillId="0" borderId="3" xfId="1" applyNumberFormat="1" applyFont="1" applyBorder="1" applyAlignment="1">
      <alignment horizontal="center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164" fontId="3" fillId="0" borderId="0" xfId="1" applyNumberFormat="1" applyFont="1" applyFill="1" applyBorder="1" applyAlignment="1">
      <alignment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164" fontId="2" fillId="0" borderId="9" xfId="1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3" fillId="0" borderId="8" xfId="0" applyFont="1" applyBorder="1" applyAlignment="1">
      <alignment wrapText="1"/>
    </xf>
    <xf numFmtId="164" fontId="2" fillId="0" borderId="10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wrapText="1"/>
    </xf>
    <xf numFmtId="164" fontId="3" fillId="0" borderId="9" xfId="1" applyNumberFormat="1" applyFont="1" applyFill="1" applyBorder="1" applyAlignment="1">
      <alignment wrapText="1"/>
    </xf>
    <xf numFmtId="0" fontId="3" fillId="0" borderId="10" xfId="0" applyFont="1" applyBorder="1" applyAlignment="1">
      <alignment wrapText="1"/>
    </xf>
    <xf numFmtId="0" fontId="5" fillId="3" borderId="8" xfId="0" applyFont="1" applyFill="1" applyBorder="1" applyAlignment="1">
      <alignment wrapText="1"/>
    </xf>
    <xf numFmtId="0" fontId="6" fillId="3" borderId="10" xfId="0" applyFont="1" applyFill="1" applyBorder="1" applyAlignment="1">
      <alignment wrapText="1"/>
    </xf>
    <xf numFmtId="0" fontId="6" fillId="0" borderId="8" xfId="0" applyFont="1" applyBorder="1" applyAlignment="1">
      <alignment vertical="center" wrapText="1"/>
    </xf>
    <xf numFmtId="164" fontId="3" fillId="5" borderId="9" xfId="1" applyNumberFormat="1" applyFont="1" applyFill="1" applyBorder="1" applyAlignment="1">
      <alignment wrapText="1"/>
    </xf>
    <xf numFmtId="164" fontId="7" fillId="6" borderId="10" xfId="0" applyNumberFormat="1" applyFont="1" applyFill="1" applyBorder="1" applyAlignment="1">
      <alignment wrapText="1"/>
    </xf>
    <xf numFmtId="164" fontId="3" fillId="0" borderId="0" xfId="0" applyNumberFormat="1" applyFont="1" applyAlignment="1">
      <alignment wrapText="1"/>
    </xf>
    <xf numFmtId="0" fontId="3" fillId="7" borderId="8" xfId="0" applyFont="1" applyFill="1" applyBorder="1" applyAlignment="1">
      <alignment wrapText="1"/>
    </xf>
    <xf numFmtId="0" fontId="2" fillId="7" borderId="10" xfId="0" applyFont="1" applyFill="1" applyBorder="1" applyAlignment="1">
      <alignment wrapText="1"/>
    </xf>
    <xf numFmtId="164" fontId="6" fillId="5" borderId="10" xfId="1" applyNumberFormat="1" applyFont="1" applyFill="1" applyBorder="1" applyAlignment="1">
      <alignment wrapText="1"/>
    </xf>
    <xf numFmtId="164" fontId="7" fillId="0" borderId="10" xfId="0" applyNumberFormat="1" applyFont="1" applyBorder="1" applyAlignment="1">
      <alignment wrapText="1"/>
    </xf>
    <xf numFmtId="164" fontId="6" fillId="0" borderId="8" xfId="1" applyNumberFormat="1" applyFont="1" applyFill="1" applyBorder="1" applyAlignment="1">
      <alignment wrapText="1"/>
    </xf>
    <xf numFmtId="164" fontId="3" fillId="4" borderId="10" xfId="0" applyNumberFormat="1" applyFont="1" applyFill="1" applyBorder="1" applyAlignment="1">
      <alignment wrapText="1"/>
    </xf>
    <xf numFmtId="164" fontId="3" fillId="0" borderId="10" xfId="0" applyNumberFormat="1" applyFont="1" applyBorder="1" applyAlignment="1">
      <alignment wrapText="1"/>
    </xf>
    <xf numFmtId="164" fontId="3" fillId="7" borderId="10" xfId="0" applyNumberFormat="1" applyFont="1" applyFill="1" applyBorder="1" applyAlignment="1">
      <alignment wrapText="1"/>
    </xf>
    <xf numFmtId="0" fontId="6" fillId="0" borderId="8" xfId="0" applyFont="1" applyBorder="1" applyAlignment="1">
      <alignment wrapText="1"/>
    </xf>
    <xf numFmtId="164" fontId="6" fillId="7" borderId="10" xfId="1" applyNumberFormat="1" applyFont="1" applyFill="1" applyBorder="1" applyAlignment="1">
      <alignment wrapText="1"/>
    </xf>
    <xf numFmtId="0" fontId="8" fillId="0" borderId="8" xfId="0" applyFont="1" applyBorder="1" applyAlignment="1">
      <alignment vertical="center" wrapText="1"/>
    </xf>
    <xf numFmtId="164" fontId="9" fillId="0" borderId="9" xfId="1" applyNumberFormat="1" applyFont="1" applyFill="1" applyBorder="1" applyAlignment="1">
      <alignment wrapText="1"/>
    </xf>
    <xf numFmtId="164" fontId="10" fillId="0" borderId="9" xfId="1" applyNumberFormat="1" applyFont="1" applyFill="1" applyBorder="1" applyAlignment="1">
      <alignment wrapText="1"/>
    </xf>
    <xf numFmtId="164" fontId="2" fillId="0" borderId="10" xfId="0" applyNumberFormat="1" applyFont="1" applyBorder="1" applyAlignment="1">
      <alignment wrapText="1"/>
    </xf>
    <xf numFmtId="164" fontId="6" fillId="7" borderId="10" xfId="1" applyNumberFormat="1" applyFont="1" applyFill="1" applyBorder="1" applyAlignment="1">
      <alignment horizontal="left" wrapText="1"/>
    </xf>
    <xf numFmtId="164" fontId="11" fillId="0" borderId="9" xfId="1" applyNumberFormat="1" applyFont="1" applyFill="1" applyBorder="1" applyAlignment="1">
      <alignment wrapText="1"/>
    </xf>
    <xf numFmtId="164" fontId="3" fillId="8" borderId="10" xfId="0" applyNumberFormat="1" applyFont="1" applyFill="1" applyBorder="1" applyAlignment="1">
      <alignment wrapText="1"/>
    </xf>
    <xf numFmtId="0" fontId="12" fillId="0" borderId="8" xfId="0" applyFont="1" applyBorder="1" applyAlignment="1">
      <alignment vertical="center" wrapText="1"/>
    </xf>
    <xf numFmtId="0" fontId="10" fillId="0" borderId="8" xfId="0" applyFont="1" applyBorder="1" applyAlignment="1">
      <alignment wrapText="1"/>
    </xf>
    <xf numFmtId="9" fontId="3" fillId="0" borderId="0" xfId="2" applyFont="1" applyFill="1" applyBorder="1" applyAlignment="1">
      <alignment wrapText="1"/>
    </xf>
    <xf numFmtId="0" fontId="2" fillId="3" borderId="10" xfId="0" applyFont="1" applyFill="1" applyBorder="1" applyAlignment="1">
      <alignment wrapText="1"/>
    </xf>
    <xf numFmtId="164" fontId="2" fillId="0" borderId="9" xfId="1" applyNumberFormat="1" applyFont="1" applyFill="1" applyBorder="1" applyAlignment="1">
      <alignment wrapText="1"/>
    </xf>
    <xf numFmtId="164" fontId="6" fillId="8" borderId="10" xfId="1" applyNumberFormat="1" applyFont="1" applyFill="1" applyBorder="1" applyAlignment="1">
      <alignment horizontal="left" wrapText="1"/>
    </xf>
    <xf numFmtId="0" fontId="5" fillId="0" borderId="8" xfId="0" applyFont="1" applyBorder="1" applyAlignment="1">
      <alignment vertical="center" wrapText="1"/>
    </xf>
    <xf numFmtId="164" fontId="3" fillId="7" borderId="8" xfId="1" applyNumberFormat="1" applyFont="1" applyFill="1" applyBorder="1" applyAlignment="1">
      <alignment wrapText="1"/>
    </xf>
    <xf numFmtId="164" fontId="3" fillId="7" borderId="11" xfId="1" applyNumberFormat="1" applyFont="1" applyFill="1" applyBorder="1" applyAlignment="1">
      <alignment wrapText="1"/>
    </xf>
    <xf numFmtId="0" fontId="2" fillId="3" borderId="8" xfId="0" applyFont="1" applyFill="1" applyBorder="1" applyAlignment="1">
      <alignment wrapText="1"/>
    </xf>
    <xf numFmtId="164" fontId="3" fillId="0" borderId="10" xfId="1" applyNumberFormat="1" applyFont="1" applyFill="1" applyBorder="1" applyAlignment="1">
      <alignment wrapText="1"/>
    </xf>
    <xf numFmtId="0" fontId="8" fillId="0" borderId="8" xfId="0" applyFont="1" applyBorder="1" applyAlignment="1">
      <alignment wrapText="1"/>
    </xf>
    <xf numFmtId="164" fontId="5" fillId="0" borderId="10" xfId="0" applyNumberFormat="1" applyFont="1" applyBorder="1" applyAlignment="1">
      <alignment wrapText="1"/>
    </xf>
    <xf numFmtId="164" fontId="6" fillId="6" borderId="10" xfId="0" applyNumberFormat="1" applyFont="1" applyFill="1" applyBorder="1" applyAlignment="1">
      <alignment wrapText="1"/>
    </xf>
    <xf numFmtId="164" fontId="3" fillId="5" borderId="10" xfId="0" applyNumberFormat="1" applyFont="1" applyFill="1" applyBorder="1" applyAlignment="1">
      <alignment wrapText="1"/>
    </xf>
    <xf numFmtId="0" fontId="11" fillId="0" borderId="8" xfId="0" applyFont="1" applyBorder="1" applyAlignment="1">
      <alignment wrapText="1"/>
    </xf>
    <xf numFmtId="164" fontId="11" fillId="0" borderId="10" xfId="0" applyNumberFormat="1" applyFont="1" applyBorder="1" applyAlignment="1">
      <alignment wrapText="1"/>
    </xf>
    <xf numFmtId="0" fontId="11" fillId="0" borderId="12" xfId="0" applyFont="1" applyBorder="1" applyAlignment="1">
      <alignment wrapText="1"/>
    </xf>
    <xf numFmtId="164" fontId="11" fillId="0" borderId="13" xfId="0" applyNumberFormat="1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3" xfId="0" applyFont="1" applyBorder="1" applyAlignment="1">
      <alignment wrapText="1"/>
    </xf>
    <xf numFmtId="164" fontId="13" fillId="7" borderId="12" xfId="0" applyNumberFormat="1" applyFont="1" applyFill="1" applyBorder="1" applyAlignment="1">
      <alignment wrapText="1"/>
    </xf>
    <xf numFmtId="164" fontId="13" fillId="7" borderId="13" xfId="0" applyNumberFormat="1" applyFont="1" applyFill="1" applyBorder="1" applyAlignment="1">
      <alignment wrapText="1"/>
    </xf>
    <xf numFmtId="164" fontId="2" fillId="0" borderId="0" xfId="0" applyNumberFormat="1" applyFont="1" applyAlignment="1">
      <alignment wrapText="1"/>
    </xf>
    <xf numFmtId="0" fontId="14" fillId="4" borderId="15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  <xf numFmtId="164" fontId="14" fillId="4" borderId="4" xfId="0" applyNumberFormat="1" applyFont="1" applyFill="1" applyBorder="1" applyAlignment="1">
      <alignment horizontal="center" vertical="center" wrapText="1"/>
    </xf>
    <xf numFmtId="0" fontId="14" fillId="4" borderId="1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4" fillId="0" borderId="17" xfId="0" applyFont="1" applyBorder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2" fontId="14" fillId="9" borderId="0" xfId="0" applyNumberFormat="1" applyFont="1" applyFill="1" applyAlignment="1">
      <alignment horizontal="center" vertical="center" wrapText="1"/>
    </xf>
    <xf numFmtId="2" fontId="14" fillId="10" borderId="0" xfId="0" applyNumberFormat="1" applyFont="1" applyFill="1" applyAlignment="1">
      <alignment horizontal="center" vertical="center" wrapText="1"/>
    </xf>
    <xf numFmtId="2" fontId="14" fillId="0" borderId="0" xfId="0" applyNumberFormat="1" applyFont="1" applyAlignment="1">
      <alignment horizontal="center" vertical="center" wrapText="1"/>
    </xf>
    <xf numFmtId="166" fontId="14" fillId="0" borderId="0" xfId="0" applyNumberFormat="1" applyFont="1" applyAlignment="1">
      <alignment horizontal="center" vertical="center" wrapText="1"/>
    </xf>
    <xf numFmtId="166" fontId="14" fillId="0" borderId="18" xfId="0" applyNumberFormat="1" applyFont="1" applyBorder="1" applyAlignment="1">
      <alignment horizontal="center" vertical="center" wrapText="1"/>
    </xf>
    <xf numFmtId="2" fontId="14" fillId="11" borderId="0" xfId="0" applyNumberFormat="1" applyFont="1" applyFill="1" applyAlignment="1">
      <alignment horizontal="center" vertical="center" wrapText="1"/>
    </xf>
    <xf numFmtId="0" fontId="14" fillId="9" borderId="0" xfId="0" applyFont="1" applyFill="1"/>
    <xf numFmtId="0" fontId="14" fillId="11" borderId="0" xfId="0" applyFont="1" applyFill="1"/>
    <xf numFmtId="0" fontId="0" fillId="0" borderId="19" xfId="0" applyBorder="1"/>
    <xf numFmtId="0" fontId="0" fillId="0" borderId="20" xfId="0" applyBorder="1" applyAlignment="1">
      <alignment horizontal="center"/>
    </xf>
    <xf numFmtId="0" fontId="0" fillId="0" borderId="20" xfId="0" applyBorder="1"/>
    <xf numFmtId="0" fontId="0" fillId="0" borderId="21" xfId="0" applyBorder="1"/>
    <xf numFmtId="0" fontId="15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top" wrapText="1"/>
    </xf>
    <xf numFmtId="0" fontId="17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0" fontId="4" fillId="0" borderId="1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0" fillId="0" borderId="22" xfId="0" applyBorder="1" applyAlignment="1">
      <alignment horizontal="center" wrapText="1"/>
    </xf>
    <xf numFmtId="2" fontId="2" fillId="3" borderId="22" xfId="0" applyNumberFormat="1" applyFont="1" applyFill="1" applyBorder="1" applyAlignment="1">
      <alignment wrapText="1"/>
    </xf>
    <xf numFmtId="165" fontId="2" fillId="3" borderId="22" xfId="0" applyNumberFormat="1" applyFont="1" applyFill="1" applyBorder="1" applyAlignment="1">
      <alignment wrapText="1"/>
    </xf>
    <xf numFmtId="0" fontId="4" fillId="0" borderId="1" xfId="0" applyFont="1" applyBorder="1" applyAlignment="1">
      <alignment horizontal="center" wrapText="1"/>
    </xf>
    <xf numFmtId="9" fontId="4" fillId="4" borderId="1" xfId="0" applyNumberFormat="1" applyFont="1" applyFill="1" applyBorder="1" applyAlignment="1">
      <alignment horizontal="center" vertical="center" wrapText="1"/>
    </xf>
    <xf numFmtId="0" fontId="3" fillId="7" borderId="8" xfId="0" applyNumberFormat="1" applyFont="1" applyFill="1" applyBorder="1" applyAlignment="1">
      <alignment wrapText="1"/>
    </xf>
    <xf numFmtId="0" fontId="3" fillId="7" borderId="10" xfId="0" applyNumberFormat="1" applyFont="1" applyFill="1" applyBorder="1" applyAlignment="1">
      <alignment wrapText="1"/>
    </xf>
    <xf numFmtId="0" fontId="2" fillId="7" borderId="10" xfId="0" applyNumberFormat="1" applyFont="1" applyFill="1" applyBorder="1" applyAlignment="1">
      <alignment wrapText="1"/>
    </xf>
    <xf numFmtId="9" fontId="2" fillId="3" borderId="22" xfId="2" applyFont="1" applyFill="1" applyBorder="1" applyAlignment="1">
      <alignment wrapText="1"/>
    </xf>
    <xf numFmtId="164" fontId="20" fillId="0" borderId="1" xfId="1" applyNumberFormat="1" applyFont="1" applyBorder="1" applyAlignment="1">
      <alignment horizontal="center"/>
    </xf>
    <xf numFmtId="164" fontId="20" fillId="0" borderId="3" xfId="1" applyNumberFormat="1" applyFont="1" applyBorder="1" applyAlignment="1">
      <alignment horizontal="center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solidFill>
                  <a:schemeClr val="tx1">
                    <a:lumMod val="50000"/>
                    <a:lumOff val="50000"/>
                  </a:schemeClr>
                </a:solidFill>
              </a:defRPr>
            </a:pPr>
            <a:r>
              <a:rPr lang="ru-RU" sz="1600">
                <a:solidFill>
                  <a:schemeClr val="tx1">
                    <a:lumMod val="50000"/>
                    <a:lumOff val="50000"/>
                  </a:schemeClr>
                </a:solidFill>
              </a:rPr>
              <a:t>Дебиторская задолженность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1"/>
          <c:order val="0"/>
          <c:spPr>
            <a:ln w="19050">
              <a:noFill/>
            </a:ln>
          </c:spPr>
          <c:xVal>
            <c:numRef>
              <c:f>БАЛАНС!$B$4:$B$15</c:f>
              <c:numCache>
                <c:formatCode>_-* #\ ##0_-;\-* #\ ##0_-;_-* "-"??_-;_-@_-</c:formatCode>
                <c:ptCount val="12"/>
                <c:pt idx="0">
                  <c:v>2000</c:v>
                </c:pt>
                <c:pt idx="1">
                  <c:v>8000</c:v>
                </c:pt>
                <c:pt idx="2">
                  <c:v>18000</c:v>
                </c:pt>
                <c:pt idx="3">
                  <c:v>11000</c:v>
                </c:pt>
                <c:pt idx="4">
                  <c:v>13000</c:v>
                </c:pt>
                <c:pt idx="5">
                  <c:v>19000</c:v>
                </c:pt>
                <c:pt idx="6">
                  <c:v>28000</c:v>
                </c:pt>
                <c:pt idx="7">
                  <c:v>13000</c:v>
                </c:pt>
                <c:pt idx="8">
                  <c:v>9000</c:v>
                </c:pt>
                <c:pt idx="9">
                  <c:v>7000</c:v>
                </c:pt>
                <c:pt idx="10">
                  <c:v>3000</c:v>
                </c:pt>
                <c:pt idx="11">
                  <c:v>1000</c:v>
                </c:pt>
              </c:numCache>
            </c:numRef>
          </c:xVal>
          <c:yVal>
            <c:numRef>
              <c:f>БАЛАНС!$D$4:$D$15</c:f>
              <c:numCache>
                <c:formatCode>_-* #\ ##0_-;\-* #\ ##0_-;_-* "-"??_-;_-@_-</c:formatCode>
                <c:ptCount val="12"/>
                <c:pt idx="0">
                  <c:v>1800</c:v>
                </c:pt>
                <c:pt idx="1">
                  <c:v>3000</c:v>
                </c:pt>
                <c:pt idx="2">
                  <c:v>12000</c:v>
                </c:pt>
                <c:pt idx="3">
                  <c:v>10000</c:v>
                </c:pt>
                <c:pt idx="4">
                  <c:v>11000</c:v>
                </c:pt>
                <c:pt idx="5">
                  <c:v>14000</c:v>
                </c:pt>
                <c:pt idx="6">
                  <c:v>18000</c:v>
                </c:pt>
                <c:pt idx="7">
                  <c:v>4000</c:v>
                </c:pt>
                <c:pt idx="8">
                  <c:v>3000</c:v>
                </c:pt>
                <c:pt idx="9">
                  <c:v>2000</c:v>
                </c:pt>
                <c:pt idx="10">
                  <c:v>800</c:v>
                </c:pt>
                <c:pt idx="11">
                  <c:v>400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5DE-834A-A0DB-6FC01A7DEDF8}"/>
            </c:ext>
          </c:extLst>
        </c:ser>
        <c:ser>
          <c:idx val="0"/>
          <c:order val="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21708966351965617"/>
                  <c:y val="-3.0481867232095589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6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KZ"/>
                </a:p>
              </c:txPr>
            </c:trendlineLbl>
          </c:trendline>
          <c:xVal>
            <c:numRef>
              <c:f>БАЛАНС!$B$4:$B$15</c:f>
              <c:numCache>
                <c:formatCode>_-* #\ ##0_-;\-* #\ ##0_-;_-* "-"??_-;_-@_-</c:formatCode>
                <c:ptCount val="12"/>
                <c:pt idx="0">
                  <c:v>2000</c:v>
                </c:pt>
                <c:pt idx="1">
                  <c:v>8000</c:v>
                </c:pt>
                <c:pt idx="2">
                  <c:v>18000</c:v>
                </c:pt>
                <c:pt idx="3">
                  <c:v>11000</c:v>
                </c:pt>
                <c:pt idx="4">
                  <c:v>13000</c:v>
                </c:pt>
                <c:pt idx="5">
                  <c:v>19000</c:v>
                </c:pt>
                <c:pt idx="6">
                  <c:v>28000</c:v>
                </c:pt>
                <c:pt idx="7">
                  <c:v>13000</c:v>
                </c:pt>
                <c:pt idx="8">
                  <c:v>9000</c:v>
                </c:pt>
                <c:pt idx="9">
                  <c:v>7000</c:v>
                </c:pt>
                <c:pt idx="10">
                  <c:v>3000</c:v>
                </c:pt>
                <c:pt idx="11">
                  <c:v>1000</c:v>
                </c:pt>
              </c:numCache>
            </c:numRef>
          </c:xVal>
          <c:yVal>
            <c:numRef>
              <c:f>БАЛАНС!$D$4:$D$15</c:f>
              <c:numCache>
                <c:formatCode>_-* #\ ##0_-;\-* #\ ##0_-;_-* "-"??_-;_-@_-</c:formatCode>
                <c:ptCount val="12"/>
                <c:pt idx="0">
                  <c:v>1800</c:v>
                </c:pt>
                <c:pt idx="1">
                  <c:v>3000</c:v>
                </c:pt>
                <c:pt idx="2">
                  <c:v>12000</c:v>
                </c:pt>
                <c:pt idx="3">
                  <c:v>10000</c:v>
                </c:pt>
                <c:pt idx="4">
                  <c:v>11000</c:v>
                </c:pt>
                <c:pt idx="5">
                  <c:v>14000</c:v>
                </c:pt>
                <c:pt idx="6">
                  <c:v>18000</c:v>
                </c:pt>
                <c:pt idx="7">
                  <c:v>4000</c:v>
                </c:pt>
                <c:pt idx="8">
                  <c:v>3000</c:v>
                </c:pt>
                <c:pt idx="9">
                  <c:v>2000</c:v>
                </c:pt>
                <c:pt idx="10">
                  <c:v>800</c:v>
                </c:pt>
                <c:pt idx="11">
                  <c:v>400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5DE-834A-A0DB-6FC01A7DED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93788784"/>
        <c:axId val="1193805184"/>
      </c:scatterChart>
      <c:valAx>
        <c:axId val="11937887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Доход</a:t>
                </a:r>
                <a:r>
                  <a:rPr lang="ru-RU" baseline="0"/>
                  <a:t> от реализации: у:е:</a:t>
                </a:r>
                <a:endParaRPr lang="ru-RU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_-* #\ ##0_-;\-* #\ ##0_-;_-* &quot;-&quot;??_-;_-@_-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KZ"/>
          </a:p>
        </c:txPr>
        <c:crossAx val="1193805184"/>
        <c:crosses val="autoZero"/>
        <c:crossBetween val="midCat"/>
      </c:valAx>
      <c:valAx>
        <c:axId val="1193805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Дебиторская задолженности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_-* #\ ##0_-;\-* #\ ##0_-;_-* &quot;-&quot;??_-;_-@_-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KZ"/>
          </a:p>
        </c:txPr>
        <c:crossAx val="1193788784"/>
        <c:crosses val="autoZero"/>
        <c:crossBetween val="midCat"/>
      </c:valAx>
    </c:plotArea>
    <c:plotVisOnly val="1"/>
    <c:dispBlanksAs val="gap"/>
    <c:showDLblsOverMax val="0"/>
    <c:extLst/>
  </c:chart>
  <c:txPr>
    <a:bodyPr/>
    <a:lstStyle/>
    <a:p>
      <a:pPr>
        <a:defRPr/>
      </a:pPr>
      <a:endParaRPr lang="ru-KZ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1600" b="1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ЗАПАСЫ</a:t>
            </a:r>
            <a:endParaRPr lang="ru-RU" sz="16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KZ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21708966351965617"/>
                  <c:y val="-3.0481867232095589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6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KZ"/>
                </a:p>
              </c:txPr>
            </c:trendlineLbl>
          </c:trendline>
          <c:xVal>
            <c:numRef>
              <c:f>БАЛАНС!$B$4:$B$15</c:f>
              <c:numCache>
                <c:formatCode>_-* #\ ##0_-;\-* #\ ##0_-;_-* "-"??_-;_-@_-</c:formatCode>
                <c:ptCount val="12"/>
                <c:pt idx="0">
                  <c:v>2000</c:v>
                </c:pt>
                <c:pt idx="1">
                  <c:v>8000</c:v>
                </c:pt>
                <c:pt idx="2">
                  <c:v>18000</c:v>
                </c:pt>
                <c:pt idx="3">
                  <c:v>11000</c:v>
                </c:pt>
                <c:pt idx="4">
                  <c:v>13000</c:v>
                </c:pt>
                <c:pt idx="5">
                  <c:v>19000</c:v>
                </c:pt>
                <c:pt idx="6">
                  <c:v>28000</c:v>
                </c:pt>
                <c:pt idx="7">
                  <c:v>13000</c:v>
                </c:pt>
                <c:pt idx="8">
                  <c:v>9000</c:v>
                </c:pt>
                <c:pt idx="9">
                  <c:v>7000</c:v>
                </c:pt>
                <c:pt idx="10">
                  <c:v>3000</c:v>
                </c:pt>
                <c:pt idx="11">
                  <c:v>1000</c:v>
                </c:pt>
              </c:numCache>
            </c:numRef>
          </c:xVal>
          <c:yVal>
            <c:numRef>
              <c:f>БАЛАНС!$E$4:$E$15</c:f>
              <c:numCache>
                <c:formatCode>_-* #\ ##0_-;\-* #\ ##0_-;_-* "-"??_-;_-@_-</c:formatCode>
                <c:ptCount val="12"/>
                <c:pt idx="0">
                  <c:v>1000</c:v>
                </c:pt>
                <c:pt idx="1">
                  <c:v>1750</c:v>
                </c:pt>
                <c:pt idx="2">
                  <c:v>7000</c:v>
                </c:pt>
                <c:pt idx="3">
                  <c:v>5350</c:v>
                </c:pt>
                <c:pt idx="4">
                  <c:v>5900</c:v>
                </c:pt>
                <c:pt idx="5">
                  <c:v>7600</c:v>
                </c:pt>
                <c:pt idx="6">
                  <c:v>10500</c:v>
                </c:pt>
                <c:pt idx="7">
                  <c:v>2750</c:v>
                </c:pt>
                <c:pt idx="8">
                  <c:v>2100</c:v>
                </c:pt>
                <c:pt idx="9">
                  <c:v>1550</c:v>
                </c:pt>
                <c:pt idx="10">
                  <c:v>600</c:v>
                </c:pt>
                <c:pt idx="11">
                  <c:v>300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C73-BD46-9D67-6C8708E1BD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93788784"/>
        <c:axId val="1193805184"/>
      </c:scatterChart>
      <c:valAx>
        <c:axId val="11937887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Доход</a:t>
                </a:r>
                <a:r>
                  <a:rPr lang="ru-RU" baseline="0"/>
                  <a:t> от реализации</a:t>
                </a:r>
                <a:endParaRPr lang="ru-RU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KZ"/>
            </a:p>
          </c:txPr>
        </c:title>
        <c:numFmt formatCode="_-* #\ ##0_-;\-* #\ ##0_-;_-* &quot;-&quot;??_-;_-@_-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KZ"/>
          </a:p>
        </c:txPr>
        <c:crossAx val="1193805184"/>
        <c:crosses val="autoZero"/>
        <c:crossBetween val="midCat"/>
      </c:valAx>
      <c:valAx>
        <c:axId val="1193805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Запасы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KZ"/>
            </a:p>
          </c:txPr>
        </c:title>
        <c:numFmt formatCode="_-* #\ ##0_-;\-* #\ ##0_-;_-* &quot;-&quot;??_-;_-@_-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KZ"/>
          </a:p>
        </c:txPr>
        <c:crossAx val="11937887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KZ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1600" b="1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Валовая прибыль</a:t>
            </a:r>
            <a:endParaRPr lang="ru-RU" sz="16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KZ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21708966351965617"/>
                  <c:y val="-3.0481867232095589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6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KZ"/>
                </a:p>
              </c:txPr>
            </c:trendlineLbl>
          </c:trendline>
          <c:xVal>
            <c:numRef>
              <c:f>БАЛАНС!$B$4:$B$15</c:f>
              <c:numCache>
                <c:formatCode>_-* #\ ##0_-;\-* #\ ##0_-;_-* "-"??_-;_-@_-</c:formatCode>
                <c:ptCount val="12"/>
                <c:pt idx="0">
                  <c:v>2000</c:v>
                </c:pt>
                <c:pt idx="1">
                  <c:v>8000</c:v>
                </c:pt>
                <c:pt idx="2">
                  <c:v>18000</c:v>
                </c:pt>
                <c:pt idx="3">
                  <c:v>11000</c:v>
                </c:pt>
                <c:pt idx="4">
                  <c:v>13000</c:v>
                </c:pt>
                <c:pt idx="5">
                  <c:v>19000</c:v>
                </c:pt>
                <c:pt idx="6">
                  <c:v>28000</c:v>
                </c:pt>
                <c:pt idx="7">
                  <c:v>13000</c:v>
                </c:pt>
                <c:pt idx="8">
                  <c:v>9000</c:v>
                </c:pt>
                <c:pt idx="9">
                  <c:v>7000</c:v>
                </c:pt>
                <c:pt idx="10">
                  <c:v>3000</c:v>
                </c:pt>
                <c:pt idx="11">
                  <c:v>1000</c:v>
                </c:pt>
              </c:numCache>
            </c:numRef>
          </c:xVal>
          <c:yVal>
            <c:numRef>
              <c:f>БАЛАНС!$F$4:$F$15</c:f>
              <c:numCache>
                <c:formatCode>_-* #\ ##0_-;\-* #\ ##0_-;_-* "-"??_-;_-@_-</c:formatCode>
                <c:ptCount val="12"/>
                <c:pt idx="0">
                  <c:v>1000</c:v>
                </c:pt>
                <c:pt idx="1">
                  <c:v>4080</c:v>
                </c:pt>
                <c:pt idx="2">
                  <c:v>9360</c:v>
                </c:pt>
                <c:pt idx="3">
                  <c:v>5830</c:v>
                </c:pt>
                <c:pt idx="4">
                  <c:v>7020.0000000000009</c:v>
                </c:pt>
                <c:pt idx="5">
                  <c:v>10450</c:v>
                </c:pt>
                <c:pt idx="6">
                  <c:v>15680.000000000002</c:v>
                </c:pt>
                <c:pt idx="7">
                  <c:v>7409.9999999999991</c:v>
                </c:pt>
                <c:pt idx="8">
                  <c:v>5220</c:v>
                </c:pt>
                <c:pt idx="9">
                  <c:v>4130</c:v>
                </c:pt>
                <c:pt idx="10">
                  <c:v>1800</c:v>
                </c:pt>
                <c:pt idx="11">
                  <c:v>610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77B-2544-8FAC-425E8C2D50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93788784"/>
        <c:axId val="1193805184"/>
      </c:scatterChart>
      <c:valAx>
        <c:axId val="11937887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Доход</a:t>
                </a:r>
                <a:r>
                  <a:rPr lang="ru-RU" baseline="0"/>
                  <a:t> от реализации: у:е:</a:t>
                </a:r>
                <a:endParaRPr lang="ru-RU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KZ"/>
            </a:p>
          </c:txPr>
        </c:title>
        <c:numFmt formatCode="_-* #\ ##0_-;\-* #\ ##0_-;_-* &quot;-&quot;??_-;_-@_-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KZ"/>
          </a:p>
        </c:txPr>
        <c:crossAx val="1193805184"/>
        <c:crosses val="autoZero"/>
        <c:crossBetween val="midCat"/>
      </c:valAx>
      <c:valAx>
        <c:axId val="1193805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Валовая</a:t>
                </a:r>
                <a:r>
                  <a:rPr lang="ru-RU" baseline="0"/>
                  <a:t> прибыль</a:t>
                </a:r>
                <a:endParaRPr lang="ru-RU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KZ"/>
            </a:p>
          </c:txPr>
        </c:title>
        <c:numFmt formatCode="_-* #\ ##0_-;\-* #\ ##0_-;_-* &quot;-&quot;??_-;_-@_-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KZ"/>
          </a:p>
        </c:txPr>
        <c:crossAx val="11937887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KZ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ru-KZ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БАЛАНС!$C$3</c:f>
              <c:strCache>
                <c:ptCount val="1"/>
                <c:pt idx="0">
                  <c:v> Кредиторская задолженность 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trendline>
            <c:spPr>
              <a:ln w="9525" cap="rnd">
                <a:solidFill>
                  <a:schemeClr val="accent1"/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350896762904637"/>
                  <c:y val="-1.6393992417614463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KZ"/>
                </a:p>
              </c:txPr>
            </c:trendlineLbl>
          </c:trendline>
          <c:xVal>
            <c:numRef>
              <c:f>БАЛАНС!$B$4:$B$15</c:f>
              <c:numCache>
                <c:formatCode>_-* #\ ##0_-;\-* #\ ##0_-;_-* "-"??_-;_-@_-</c:formatCode>
                <c:ptCount val="12"/>
                <c:pt idx="0">
                  <c:v>2000</c:v>
                </c:pt>
                <c:pt idx="1">
                  <c:v>8000</c:v>
                </c:pt>
                <c:pt idx="2">
                  <c:v>18000</c:v>
                </c:pt>
                <c:pt idx="3">
                  <c:v>11000</c:v>
                </c:pt>
                <c:pt idx="4">
                  <c:v>13000</c:v>
                </c:pt>
                <c:pt idx="5">
                  <c:v>19000</c:v>
                </c:pt>
                <c:pt idx="6">
                  <c:v>28000</c:v>
                </c:pt>
                <c:pt idx="7">
                  <c:v>13000</c:v>
                </c:pt>
                <c:pt idx="8">
                  <c:v>9000</c:v>
                </c:pt>
                <c:pt idx="9">
                  <c:v>7000</c:v>
                </c:pt>
                <c:pt idx="10">
                  <c:v>3000</c:v>
                </c:pt>
                <c:pt idx="11">
                  <c:v>1000</c:v>
                </c:pt>
              </c:numCache>
            </c:numRef>
          </c:xVal>
          <c:yVal>
            <c:numRef>
              <c:f>БАЛАНС!$C$4:$C$15</c:f>
              <c:numCache>
                <c:formatCode>_-* #\ ##0_-;\-* #\ ##0_-;_-* "-"??_-;_-@_-</c:formatCode>
                <c:ptCount val="12"/>
                <c:pt idx="0">
                  <c:v>200</c:v>
                </c:pt>
                <c:pt idx="1">
                  <c:v>500</c:v>
                </c:pt>
                <c:pt idx="2">
                  <c:v>2000</c:v>
                </c:pt>
                <c:pt idx="3">
                  <c:v>700</c:v>
                </c:pt>
                <c:pt idx="4">
                  <c:v>800</c:v>
                </c:pt>
                <c:pt idx="5">
                  <c:v>1200</c:v>
                </c:pt>
                <c:pt idx="6">
                  <c:v>3000</c:v>
                </c:pt>
                <c:pt idx="7">
                  <c:v>1500</c:v>
                </c:pt>
                <c:pt idx="8">
                  <c:v>1200</c:v>
                </c:pt>
                <c:pt idx="9">
                  <c:v>1100</c:v>
                </c:pt>
                <c:pt idx="10">
                  <c:v>400</c:v>
                </c:pt>
                <c:pt idx="11">
                  <c:v>200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8EC-FF40-83D1-A41E34A8A7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0874655"/>
        <c:axId val="1630364223"/>
      </c:scatterChart>
      <c:valAx>
        <c:axId val="66087465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Доходт от реализации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ru-KZ"/>
            </a:p>
          </c:txPr>
        </c:title>
        <c:numFmt formatCode="_-* #\ ##0_-;\-* #\ ##0_-;_-* &quot;-&quot;??_-;_-@_-" sourceLinked="1"/>
        <c:majorTickMark val="none"/>
        <c:minorTickMark val="none"/>
        <c:tickLblPos val="nextTo"/>
        <c:spPr>
          <a:noFill/>
          <a:ln>
            <a:solidFill>
              <a:schemeClr val="tx2">
                <a:lumMod val="40000"/>
                <a:lumOff val="6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ru-KZ"/>
          </a:p>
        </c:txPr>
        <c:crossAx val="1630364223"/>
        <c:crosses val="autoZero"/>
        <c:crossBetween val="midCat"/>
      </c:valAx>
      <c:valAx>
        <c:axId val="16303642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Кредиторскакя задолженность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ru-KZ"/>
            </a:p>
          </c:txPr>
        </c:title>
        <c:numFmt formatCode="_-* #\ ##0_-;\-* #\ ##0_-;_-* &quot;-&quot;??_-;_-@_-" sourceLinked="1"/>
        <c:majorTickMark val="none"/>
        <c:minorTickMark val="none"/>
        <c:tickLblPos val="nextTo"/>
        <c:spPr>
          <a:noFill/>
          <a:ln>
            <a:solidFill>
              <a:schemeClr val="tx2">
                <a:lumMod val="40000"/>
                <a:lumOff val="6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ru-KZ"/>
          </a:p>
        </c:txPr>
        <c:crossAx val="66087465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KZ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2"/>
    <cs:fontRef idx="minor">
      <a:schemeClr val="tx2"/>
    </cs:fontRef>
    <cs:spPr>
      <a:ln w="9525">
        <a:solidFill>
          <a:schemeClr val="phClr"/>
        </a:solidFill>
        <a:round/>
      </a:ln>
    </cs:spPr>
  </cs:dataPointMarker>
  <cs:dataPointMarkerLayout symbol="circle" size="5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spPr>
      <a:ln>
        <a:solidFill>
          <a:schemeClr val="tx2">
            <a:lumMod val="40000"/>
            <a:lumOff val="6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625522</xdr:colOff>
      <xdr:row>13</xdr:row>
      <xdr:rowOff>52665</xdr:rowOff>
    </xdr:from>
    <xdr:to>
      <xdr:col>14</xdr:col>
      <xdr:colOff>638759</xdr:colOff>
      <xdr:row>25</xdr:row>
      <xdr:rowOff>78036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70FEB440-CF8E-2343-8848-1F52790188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67160</xdr:colOff>
      <xdr:row>1</xdr:row>
      <xdr:rowOff>352632</xdr:rowOff>
    </xdr:from>
    <xdr:to>
      <xdr:col>22</xdr:col>
      <xdr:colOff>255820</xdr:colOff>
      <xdr:row>12</xdr:row>
      <xdr:rowOff>85298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id="{A4528C12-2B54-EA46-A65F-F50F3D067C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70101</xdr:colOff>
      <xdr:row>13</xdr:row>
      <xdr:rowOff>68631</xdr:rowOff>
    </xdr:from>
    <xdr:to>
      <xdr:col>22</xdr:col>
      <xdr:colOff>258761</xdr:colOff>
      <xdr:row>25</xdr:row>
      <xdr:rowOff>94002</xdr:rowOff>
    </xdr:to>
    <xdr:graphicFrame macro="">
      <xdr:nvGraphicFramePr>
        <xdr:cNvPr id="4" name="Диаграмма 3">
          <a:extLst>
            <a:ext uri="{FF2B5EF4-FFF2-40B4-BE49-F238E27FC236}">
              <a16:creationId xmlns:a16="http://schemas.microsoft.com/office/drawing/2014/main" id="{ECCA17A4-BBAA-084B-ADDC-A3B1B67DEA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626534</xdr:colOff>
      <xdr:row>1</xdr:row>
      <xdr:rowOff>334434</xdr:rowOff>
    </xdr:from>
    <xdr:to>
      <xdr:col>14</xdr:col>
      <xdr:colOff>618066</xdr:colOff>
      <xdr:row>12</xdr:row>
      <xdr:rowOff>105834</xdr:rowOff>
    </xdr:to>
    <xdr:graphicFrame macro="">
      <xdr:nvGraphicFramePr>
        <xdr:cNvPr id="5" name="Диаграмма 4">
          <a:extLst>
            <a:ext uri="{FF2B5EF4-FFF2-40B4-BE49-F238E27FC236}">
              <a16:creationId xmlns:a16="http://schemas.microsoft.com/office/drawing/2014/main" id="{9AA48DAD-3B1B-664C-A270-E4ECF1ABBC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vladimirmatsov/Documents/GLobalSynergy/GSEducation/&#1053;&#1059;&#1056;&#1048;&#1050;&#1054;&#1053;/KAZN/&#1055;&#1088;&#1072;&#1082;&#1090;&#1080;&#1082;&#1091;&#1084;%20KAZN.xlsx" TargetMode="External"/><Relationship Id="rId1" Type="http://schemas.openxmlformats.org/officeDocument/2006/relationships/externalLinkPath" Target="/Users/vladimirmatsov/Documents/GLobalSynergy/GSEducation/&#1053;&#1059;&#1056;&#1048;&#1050;&#1054;&#1053;/KAZN/&#1055;&#1088;&#1072;&#1082;&#1090;&#1080;&#1082;&#1091;&#1084;%20KAZ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УПР 1 Метод проп завис"/>
      <sheetName val="Инструкция к УПР 1"/>
      <sheetName val="УПР 2 ОДДС и ОИИДФ  (2)"/>
      <sheetName val="УПР 2 ОДДС и ОИИДФ "/>
      <sheetName val="УПР 3 Потребность в деньгах (2)"/>
      <sheetName val="УПР 3 Потребность в деньгах"/>
      <sheetName val="УПР 4 ДП от инвестиций"/>
      <sheetName val="УПР 5"/>
      <sheetName val="УПР 6"/>
    </sheetNames>
    <sheetDataSet>
      <sheetData sheetId="0">
        <row r="3">
          <cell r="C3" t="str">
            <v>Кредиторская задолженность</v>
          </cell>
        </row>
        <row r="4">
          <cell r="B4">
            <v>2000</v>
          </cell>
          <cell r="C4">
            <v>200</v>
          </cell>
          <cell r="D4">
            <v>1800</v>
          </cell>
          <cell r="E4">
            <v>1000</v>
          </cell>
          <cell r="F4">
            <v>1000</v>
          </cell>
        </row>
        <row r="5">
          <cell r="B5">
            <v>8000</v>
          </cell>
          <cell r="C5">
            <v>500</v>
          </cell>
          <cell r="D5">
            <v>3000</v>
          </cell>
          <cell r="E5">
            <v>1750</v>
          </cell>
          <cell r="F5">
            <v>4080</v>
          </cell>
        </row>
        <row r="6">
          <cell r="B6">
            <v>18000</v>
          </cell>
          <cell r="C6">
            <v>2000</v>
          </cell>
          <cell r="D6">
            <v>12000</v>
          </cell>
          <cell r="E6">
            <v>7000</v>
          </cell>
          <cell r="F6">
            <v>9360</v>
          </cell>
        </row>
        <row r="7">
          <cell r="B7">
            <v>11000</v>
          </cell>
          <cell r="C7">
            <v>700</v>
          </cell>
          <cell r="D7">
            <v>10000</v>
          </cell>
          <cell r="E7">
            <v>5350</v>
          </cell>
          <cell r="F7">
            <v>5830</v>
          </cell>
        </row>
        <row r="8">
          <cell r="B8">
            <v>13000</v>
          </cell>
          <cell r="C8">
            <v>800</v>
          </cell>
          <cell r="D8">
            <v>11000</v>
          </cell>
          <cell r="E8">
            <v>5900</v>
          </cell>
          <cell r="F8">
            <v>7020.0000000000009</v>
          </cell>
        </row>
        <row r="9">
          <cell r="B9">
            <v>19000</v>
          </cell>
          <cell r="C9">
            <v>1200</v>
          </cell>
          <cell r="D9">
            <v>14000</v>
          </cell>
          <cell r="E9">
            <v>7600</v>
          </cell>
          <cell r="F9">
            <v>10450</v>
          </cell>
        </row>
        <row r="10">
          <cell r="B10">
            <v>28000</v>
          </cell>
          <cell r="C10">
            <v>3000</v>
          </cell>
          <cell r="D10">
            <v>18000</v>
          </cell>
          <cell r="E10">
            <v>10500</v>
          </cell>
          <cell r="F10">
            <v>15680.000000000002</v>
          </cell>
        </row>
        <row r="11">
          <cell r="B11">
            <v>13000</v>
          </cell>
          <cell r="C11">
            <v>1500</v>
          </cell>
          <cell r="D11">
            <v>4000</v>
          </cell>
          <cell r="E11">
            <v>2750</v>
          </cell>
          <cell r="F11">
            <v>7409.9999999999991</v>
          </cell>
        </row>
        <row r="12">
          <cell r="B12">
            <v>9000</v>
          </cell>
          <cell r="C12">
            <v>1200</v>
          </cell>
          <cell r="D12">
            <v>3000</v>
          </cell>
          <cell r="E12">
            <v>2100</v>
          </cell>
          <cell r="F12">
            <v>5220</v>
          </cell>
        </row>
        <row r="13">
          <cell r="B13">
            <v>7000</v>
          </cell>
          <cell r="C13">
            <v>1100</v>
          </cell>
          <cell r="D13">
            <v>2000</v>
          </cell>
          <cell r="E13">
            <v>1550</v>
          </cell>
          <cell r="F13">
            <v>4130</v>
          </cell>
        </row>
        <row r="14">
          <cell r="B14">
            <v>3000</v>
          </cell>
          <cell r="C14">
            <v>400</v>
          </cell>
          <cell r="D14">
            <v>800</v>
          </cell>
          <cell r="E14">
            <v>600</v>
          </cell>
          <cell r="F14">
            <v>1800</v>
          </cell>
        </row>
        <row r="15">
          <cell r="B15">
            <v>1000</v>
          </cell>
          <cell r="C15">
            <v>200</v>
          </cell>
          <cell r="D15">
            <v>400</v>
          </cell>
          <cell r="E15">
            <v>300</v>
          </cell>
          <cell r="F15">
            <v>610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FFECDE-A09C-D94A-BB85-6BCB3D77AF45}">
  <dimension ref="A1:J47"/>
  <sheetViews>
    <sheetView showGridLines="0" tabSelected="1" topLeftCell="A40" zoomScale="162" zoomScaleNormal="170" workbookViewId="0">
      <selection activeCell="H35" sqref="H35"/>
    </sheetView>
  </sheetViews>
  <sheetFormatPr baseColWidth="10" defaultRowHeight="16" x14ac:dyDescent="0.2"/>
  <cols>
    <col min="1" max="1" width="8.5" style="2" bestFit="1" customWidth="1"/>
    <col min="2" max="2" width="14.6640625" style="2" customWidth="1"/>
    <col min="3" max="3" width="21.6640625" style="2" customWidth="1"/>
    <col min="4" max="4" width="14.5" style="2" bestFit="1" customWidth="1"/>
    <col min="5" max="5" width="14.5" style="2" customWidth="1"/>
    <col min="6" max="6" width="12.6640625" style="2" bestFit="1" customWidth="1"/>
    <col min="7" max="7" width="14.83203125" style="2" bestFit="1" customWidth="1"/>
    <col min="8" max="16384" width="10.83203125" style="2"/>
  </cols>
  <sheetData>
    <row r="1" spans="1:7" x14ac:dyDescent="0.2">
      <c r="A1" s="1"/>
      <c r="B1" s="1"/>
      <c r="C1" s="1"/>
      <c r="D1" s="1"/>
      <c r="E1" s="1"/>
      <c r="F1" s="1"/>
      <c r="G1" s="1"/>
    </row>
    <row r="2" spans="1:7" ht="38" customHeight="1" x14ac:dyDescent="0.25">
      <c r="A2" s="109" t="s">
        <v>0</v>
      </c>
      <c r="B2" s="109"/>
      <c r="C2" s="109"/>
      <c r="D2" s="109"/>
      <c r="E2" s="109"/>
      <c r="F2" s="109"/>
      <c r="G2" s="110"/>
    </row>
    <row r="3" spans="1:7" s="6" customFormat="1" ht="52" thickBot="1" x14ac:dyDescent="0.25">
      <c r="A3" s="3" t="s">
        <v>1</v>
      </c>
      <c r="B3" s="4" t="s">
        <v>2</v>
      </c>
      <c r="C3" s="5" t="s">
        <v>3</v>
      </c>
      <c r="D3" s="5" t="s">
        <v>4</v>
      </c>
      <c r="E3" s="5" t="s">
        <v>5</v>
      </c>
      <c r="F3" s="5" t="s">
        <v>6</v>
      </c>
    </row>
    <row r="4" spans="1:7" x14ac:dyDescent="0.2">
      <c r="A4" s="7">
        <v>1</v>
      </c>
      <c r="B4" s="8">
        <v>2000</v>
      </c>
      <c r="C4" s="9">
        <v>200</v>
      </c>
      <c r="D4" s="9">
        <v>1800</v>
      </c>
      <c r="E4" s="9">
        <v>1000</v>
      </c>
      <c r="F4" s="9">
        <v>1000</v>
      </c>
    </row>
    <row r="5" spans="1:7" x14ac:dyDescent="0.2">
      <c r="A5" s="10">
        <v>2</v>
      </c>
      <c r="B5" s="11">
        <v>8000</v>
      </c>
      <c r="C5" s="12">
        <v>500</v>
      </c>
      <c r="D5" s="12">
        <v>3000</v>
      </c>
      <c r="E5" s="12">
        <v>1750</v>
      </c>
      <c r="F5" s="12">
        <v>4080</v>
      </c>
    </row>
    <row r="6" spans="1:7" x14ac:dyDescent="0.2">
      <c r="A6" s="10">
        <v>3</v>
      </c>
      <c r="B6" s="11">
        <v>18000</v>
      </c>
      <c r="C6" s="12">
        <v>2000</v>
      </c>
      <c r="D6" s="12">
        <v>12000</v>
      </c>
      <c r="E6" s="12">
        <v>7000</v>
      </c>
      <c r="F6" s="12">
        <v>9360</v>
      </c>
    </row>
    <row r="7" spans="1:7" x14ac:dyDescent="0.2">
      <c r="A7" s="10">
        <v>4</v>
      </c>
      <c r="B7" s="11">
        <v>11000</v>
      </c>
      <c r="C7" s="12">
        <v>700</v>
      </c>
      <c r="D7" s="12">
        <v>10000</v>
      </c>
      <c r="E7" s="12">
        <v>5350</v>
      </c>
      <c r="F7" s="12">
        <v>5830</v>
      </c>
    </row>
    <row r="8" spans="1:7" x14ac:dyDescent="0.2">
      <c r="A8" s="10">
        <v>5</v>
      </c>
      <c r="B8" s="11">
        <v>13000</v>
      </c>
      <c r="C8" s="12">
        <v>800</v>
      </c>
      <c r="D8" s="12">
        <v>11000</v>
      </c>
      <c r="E8" s="12">
        <v>5900</v>
      </c>
      <c r="F8" s="12">
        <v>7020.0000000000009</v>
      </c>
    </row>
    <row r="9" spans="1:7" x14ac:dyDescent="0.2">
      <c r="A9" s="10">
        <v>6</v>
      </c>
      <c r="B9" s="11">
        <v>19000</v>
      </c>
      <c r="C9" s="12">
        <v>1200</v>
      </c>
      <c r="D9" s="12">
        <v>14000</v>
      </c>
      <c r="E9" s="12">
        <v>7600</v>
      </c>
      <c r="F9" s="12">
        <v>10450</v>
      </c>
    </row>
    <row r="10" spans="1:7" x14ac:dyDescent="0.2">
      <c r="A10" s="10">
        <v>7</v>
      </c>
      <c r="B10" s="11">
        <v>28000</v>
      </c>
      <c r="C10" s="12">
        <v>3000</v>
      </c>
      <c r="D10" s="12">
        <v>18000</v>
      </c>
      <c r="E10" s="12">
        <v>10500</v>
      </c>
      <c r="F10" s="12">
        <v>15680.000000000002</v>
      </c>
    </row>
    <row r="11" spans="1:7" x14ac:dyDescent="0.2">
      <c r="A11" s="10">
        <v>8</v>
      </c>
      <c r="B11" s="11">
        <v>13000</v>
      </c>
      <c r="C11" s="12">
        <v>1500</v>
      </c>
      <c r="D11" s="12">
        <v>4000</v>
      </c>
      <c r="E11" s="12">
        <v>2750</v>
      </c>
      <c r="F11" s="12">
        <v>7409.9999999999991</v>
      </c>
    </row>
    <row r="12" spans="1:7" x14ac:dyDescent="0.2">
      <c r="A12" s="10">
        <v>9</v>
      </c>
      <c r="B12" s="11">
        <v>9000</v>
      </c>
      <c r="C12" s="12">
        <v>1200</v>
      </c>
      <c r="D12" s="12">
        <v>3000</v>
      </c>
      <c r="E12" s="12">
        <v>2100</v>
      </c>
      <c r="F12" s="12">
        <v>5220</v>
      </c>
    </row>
    <row r="13" spans="1:7" x14ac:dyDescent="0.2">
      <c r="A13" s="10">
        <v>10</v>
      </c>
      <c r="B13" s="11">
        <v>7000</v>
      </c>
      <c r="C13" s="12">
        <v>1100</v>
      </c>
      <c r="D13" s="12">
        <v>2000</v>
      </c>
      <c r="E13" s="12">
        <v>1550</v>
      </c>
      <c r="F13" s="12">
        <v>4130</v>
      </c>
    </row>
    <row r="14" spans="1:7" x14ac:dyDescent="0.2">
      <c r="A14" s="10">
        <v>11</v>
      </c>
      <c r="B14" s="11">
        <v>3000</v>
      </c>
      <c r="C14" s="12">
        <v>400</v>
      </c>
      <c r="D14" s="12">
        <v>800</v>
      </c>
      <c r="E14" s="12">
        <v>600</v>
      </c>
      <c r="F14" s="12">
        <v>1800</v>
      </c>
    </row>
    <row r="15" spans="1:7" ht="17" thickBot="1" x14ac:dyDescent="0.25">
      <c r="A15" s="13">
        <v>12</v>
      </c>
      <c r="B15" s="14">
        <v>1000</v>
      </c>
      <c r="C15" s="15">
        <v>200</v>
      </c>
      <c r="D15" s="15">
        <v>400</v>
      </c>
      <c r="E15" s="15">
        <v>300</v>
      </c>
      <c r="F15" s="15">
        <v>610</v>
      </c>
    </row>
    <row r="16" spans="1:7" ht="17" thickBot="1" x14ac:dyDescent="0.25">
      <c r="A16" s="111" t="s">
        <v>7</v>
      </c>
      <c r="B16" s="111"/>
      <c r="C16" s="119">
        <f>CORREL(B4:B15,C4:C15)</f>
        <v>0.90388495926903079</v>
      </c>
      <c r="D16" s="112">
        <f>CORREL(B4:B15,D4:D15)</f>
        <v>0.92959304094695705</v>
      </c>
      <c r="E16" s="112">
        <f>CORREL(B4:B15,E4:E15)</f>
        <v>0.95374742856398342</v>
      </c>
      <c r="F16" s="113">
        <f>CORREL(B4:B15,F4:F15)</f>
        <v>0.99808674519413398</v>
      </c>
    </row>
    <row r="19" spans="1:7" ht="19" x14ac:dyDescent="0.25">
      <c r="A19" s="109" t="s">
        <v>8</v>
      </c>
      <c r="B19" s="109"/>
      <c r="C19" s="109"/>
      <c r="D19" s="109"/>
      <c r="E19" s="109"/>
      <c r="F19" s="109"/>
      <c r="G19" s="110"/>
    </row>
    <row r="20" spans="1:7" ht="52" thickBot="1" x14ac:dyDescent="0.25">
      <c r="A20" s="3" t="s">
        <v>1</v>
      </c>
      <c r="B20" s="16" t="s">
        <v>9</v>
      </c>
      <c r="C20" s="16" t="s">
        <v>3</v>
      </c>
      <c r="D20" s="16" t="s">
        <v>4</v>
      </c>
      <c r="E20" s="16" t="s">
        <v>5</v>
      </c>
      <c r="F20" s="16" t="s">
        <v>6</v>
      </c>
    </row>
    <row r="21" spans="1:7" x14ac:dyDescent="0.2">
      <c r="A21" s="7">
        <v>1</v>
      </c>
      <c r="B21" s="120">
        <v>4000</v>
      </c>
      <c r="C21" s="17">
        <f>0.0934*B21+39.035</f>
        <v>412.63499999999999</v>
      </c>
      <c r="D21" s="17">
        <f>0.7053*B21-1091.2</f>
        <v>1730.0000000000002</v>
      </c>
      <c r="E21" s="17">
        <f>0.3993*B21-526.1</f>
        <v>1071.0999999999999</v>
      </c>
      <c r="F21" s="17">
        <f>0.5495*B21+4.9561</f>
        <v>2202.9560999999999</v>
      </c>
    </row>
    <row r="22" spans="1:7" x14ac:dyDescent="0.2">
      <c r="A22" s="10">
        <v>2</v>
      </c>
      <c r="B22" s="121">
        <v>10000</v>
      </c>
      <c r="C22" s="17">
        <f t="shared" ref="C22:C32" si="0">0.0934*B22+39.035</f>
        <v>973.03499999999997</v>
      </c>
      <c r="D22" s="17">
        <f t="shared" ref="D22:D32" si="1">0.7053*B22-1091.2</f>
        <v>5961.8</v>
      </c>
      <c r="E22" s="17">
        <f t="shared" ref="E22:E32" si="2">0.3993*B22-526.1</f>
        <v>3466.9</v>
      </c>
      <c r="F22" s="17">
        <f t="shared" ref="F22:F32" si="3">0.5495*B22+4.9561</f>
        <v>5499.9561000000003</v>
      </c>
    </row>
    <row r="23" spans="1:7" x14ac:dyDescent="0.2">
      <c r="A23" s="10">
        <v>3</v>
      </c>
      <c r="B23" s="121">
        <v>23000</v>
      </c>
      <c r="C23" s="17">
        <f t="shared" si="0"/>
        <v>2187.2349999999997</v>
      </c>
      <c r="D23" s="17">
        <f t="shared" si="1"/>
        <v>15130.7</v>
      </c>
      <c r="E23" s="17">
        <f t="shared" si="2"/>
        <v>8657.7999999999993</v>
      </c>
      <c r="F23" s="17">
        <f t="shared" si="3"/>
        <v>12643.456099999999</v>
      </c>
    </row>
    <row r="24" spans="1:7" x14ac:dyDescent="0.2">
      <c r="A24" s="10">
        <v>4</v>
      </c>
      <c r="B24" s="121">
        <v>22000</v>
      </c>
      <c r="C24" s="17">
        <f t="shared" si="0"/>
        <v>2093.8349999999996</v>
      </c>
      <c r="D24" s="17">
        <f t="shared" si="1"/>
        <v>14425.4</v>
      </c>
      <c r="E24" s="17">
        <f t="shared" si="2"/>
        <v>8258.5</v>
      </c>
      <c r="F24" s="17">
        <f t="shared" si="3"/>
        <v>12093.956099999999</v>
      </c>
    </row>
    <row r="25" spans="1:7" x14ac:dyDescent="0.2">
      <c r="A25" s="10">
        <v>5</v>
      </c>
      <c r="B25" s="121">
        <v>21000</v>
      </c>
      <c r="C25" s="17">
        <f t="shared" si="0"/>
        <v>2000.4349999999999</v>
      </c>
      <c r="D25" s="17">
        <f t="shared" si="1"/>
        <v>13720.1</v>
      </c>
      <c r="E25" s="17">
        <f t="shared" si="2"/>
        <v>7859.1999999999989</v>
      </c>
      <c r="F25" s="17">
        <f t="shared" si="3"/>
        <v>11544.456099999999</v>
      </c>
    </row>
    <row r="26" spans="1:7" x14ac:dyDescent="0.2">
      <c r="A26" s="10">
        <v>6</v>
      </c>
      <c r="B26" s="121">
        <v>19000</v>
      </c>
      <c r="C26" s="17">
        <f t="shared" si="0"/>
        <v>1813.635</v>
      </c>
      <c r="D26" s="17">
        <f t="shared" si="1"/>
        <v>12309.5</v>
      </c>
      <c r="E26" s="17">
        <f t="shared" si="2"/>
        <v>7060.5999999999995</v>
      </c>
      <c r="F26" s="17">
        <f t="shared" si="3"/>
        <v>10445.456099999999</v>
      </c>
    </row>
    <row r="27" spans="1:7" x14ac:dyDescent="0.2">
      <c r="A27" s="10">
        <v>7</v>
      </c>
      <c r="B27" s="121">
        <v>20000</v>
      </c>
      <c r="C27" s="17">
        <f t="shared" si="0"/>
        <v>1907.0350000000001</v>
      </c>
      <c r="D27" s="17">
        <f t="shared" si="1"/>
        <v>13014.8</v>
      </c>
      <c r="E27" s="17">
        <f t="shared" si="2"/>
        <v>7459.9</v>
      </c>
      <c r="F27" s="17">
        <f t="shared" si="3"/>
        <v>10994.956099999999</v>
      </c>
    </row>
    <row r="28" spans="1:7" x14ac:dyDescent="0.2">
      <c r="A28" s="10">
        <v>8</v>
      </c>
      <c r="B28" s="121">
        <v>18000</v>
      </c>
      <c r="C28" s="17">
        <f t="shared" si="0"/>
        <v>1720.2350000000001</v>
      </c>
      <c r="D28" s="17">
        <f t="shared" si="1"/>
        <v>11604.2</v>
      </c>
      <c r="E28" s="17">
        <f t="shared" si="2"/>
        <v>6661.2999999999993</v>
      </c>
      <c r="F28" s="17">
        <f t="shared" si="3"/>
        <v>9895.9560999999994</v>
      </c>
    </row>
    <row r="29" spans="1:7" x14ac:dyDescent="0.2">
      <c r="A29" s="10">
        <v>9</v>
      </c>
      <c r="B29" s="121">
        <v>10000</v>
      </c>
      <c r="C29" s="17">
        <f t="shared" si="0"/>
        <v>973.03499999999997</v>
      </c>
      <c r="D29" s="17">
        <f t="shared" si="1"/>
        <v>5961.8</v>
      </c>
      <c r="E29" s="17">
        <f t="shared" si="2"/>
        <v>3466.9</v>
      </c>
      <c r="F29" s="17">
        <f t="shared" si="3"/>
        <v>5499.9561000000003</v>
      </c>
    </row>
    <row r="30" spans="1:7" x14ac:dyDescent="0.2">
      <c r="A30" s="10">
        <v>10</v>
      </c>
      <c r="B30" s="121">
        <v>9000</v>
      </c>
      <c r="C30" s="17">
        <f t="shared" si="0"/>
        <v>879.63499999999999</v>
      </c>
      <c r="D30" s="17">
        <f t="shared" si="1"/>
        <v>5256.5000000000009</v>
      </c>
      <c r="E30" s="17">
        <f t="shared" si="2"/>
        <v>3067.6</v>
      </c>
      <c r="F30" s="17">
        <f t="shared" si="3"/>
        <v>4950.4561000000003</v>
      </c>
    </row>
    <row r="31" spans="1:7" x14ac:dyDescent="0.2">
      <c r="A31" s="10">
        <v>11</v>
      </c>
      <c r="B31" s="121">
        <v>7000</v>
      </c>
      <c r="C31" s="17">
        <f t="shared" si="0"/>
        <v>692.83499999999992</v>
      </c>
      <c r="D31" s="17">
        <f t="shared" si="1"/>
        <v>3845.9000000000005</v>
      </c>
      <c r="E31" s="17">
        <f t="shared" si="2"/>
        <v>2269</v>
      </c>
      <c r="F31" s="17">
        <f t="shared" si="3"/>
        <v>3851.4560999999999</v>
      </c>
    </row>
    <row r="32" spans="1:7" x14ac:dyDescent="0.2">
      <c r="A32" s="10">
        <v>12</v>
      </c>
      <c r="B32" s="121">
        <v>5000</v>
      </c>
      <c r="C32" s="18">
        <f t="shared" si="0"/>
        <v>506.03499999999997</v>
      </c>
      <c r="D32" s="18">
        <f t="shared" si="1"/>
        <v>2435.3000000000002</v>
      </c>
      <c r="E32" s="18">
        <f t="shared" si="2"/>
        <v>1470.4</v>
      </c>
      <c r="F32" s="18">
        <f t="shared" si="3"/>
        <v>2752.4560999999999</v>
      </c>
    </row>
    <row r="34" spans="1:10" ht="16" customHeight="1" x14ac:dyDescent="0.25">
      <c r="A34" s="114" t="s">
        <v>10</v>
      </c>
      <c r="B34" s="114"/>
      <c r="C34" s="114"/>
      <c r="D34" s="114"/>
      <c r="E34" s="114"/>
      <c r="F34" s="115">
        <v>1.2</v>
      </c>
      <c r="G34" s="19"/>
    </row>
    <row r="35" spans="1:10" ht="52" thickBot="1" x14ac:dyDescent="0.25">
      <c r="A35" s="3" t="s">
        <v>1</v>
      </c>
      <c r="B35" s="16" t="s">
        <v>9</v>
      </c>
      <c r="C35" s="16" t="s">
        <v>3</v>
      </c>
      <c r="D35" s="16" t="s">
        <v>4</v>
      </c>
      <c r="E35" s="16" t="s">
        <v>5</v>
      </c>
      <c r="F35" s="16" t="s">
        <v>6</v>
      </c>
    </row>
    <row r="36" spans="1:10" x14ac:dyDescent="0.2">
      <c r="A36" s="7">
        <v>1</v>
      </c>
      <c r="B36" s="17">
        <f>B21*$F$34</f>
        <v>4800</v>
      </c>
      <c r="C36" s="17">
        <f>0.0934*B36+39.035</f>
        <v>487.35500000000002</v>
      </c>
      <c r="D36" s="17">
        <f>0.7053*B36-1091.2</f>
        <v>2294.2399999999998</v>
      </c>
      <c r="E36" s="17">
        <f>0.3993*B36-526.1</f>
        <v>1390.54</v>
      </c>
      <c r="F36" s="17">
        <f>0.5495*B36+4.9561</f>
        <v>2642.5560999999998</v>
      </c>
    </row>
    <row r="37" spans="1:10" x14ac:dyDescent="0.2">
      <c r="A37" s="10">
        <v>2</v>
      </c>
      <c r="B37" s="17">
        <f t="shared" ref="B37:B47" si="4">B22*$F$34</f>
        <v>12000</v>
      </c>
      <c r="C37" s="17">
        <f t="shared" ref="C37:C47" si="5">0.0934*B37+39.035</f>
        <v>1159.835</v>
      </c>
      <c r="D37" s="17">
        <f t="shared" ref="D37:D47" si="6">0.7053*B37-1091.2</f>
        <v>7372.4000000000005</v>
      </c>
      <c r="E37" s="17">
        <f t="shared" ref="E37:E47" si="7">0.3993*B37-526.1</f>
        <v>4265.4999999999991</v>
      </c>
      <c r="F37" s="17">
        <f t="shared" ref="F37:F47" si="8">0.5495*B37+4.9561</f>
        <v>6598.9561000000003</v>
      </c>
    </row>
    <row r="38" spans="1:10" x14ac:dyDescent="0.2">
      <c r="A38" s="10">
        <v>3</v>
      </c>
      <c r="B38" s="17">
        <f t="shared" si="4"/>
        <v>27600</v>
      </c>
      <c r="C38" s="17">
        <f t="shared" si="5"/>
        <v>2616.8749999999995</v>
      </c>
      <c r="D38" s="17">
        <f t="shared" si="6"/>
        <v>18375.080000000002</v>
      </c>
      <c r="E38" s="17">
        <f t="shared" si="7"/>
        <v>10494.58</v>
      </c>
      <c r="F38" s="17">
        <f t="shared" si="8"/>
        <v>15171.156099999998</v>
      </c>
    </row>
    <row r="39" spans="1:10" x14ac:dyDescent="0.2">
      <c r="A39" s="10">
        <v>4</v>
      </c>
      <c r="B39" s="17">
        <f t="shared" si="4"/>
        <v>26400</v>
      </c>
      <c r="C39" s="17">
        <f t="shared" si="5"/>
        <v>2504.7949999999996</v>
      </c>
      <c r="D39" s="17">
        <f t="shared" si="6"/>
        <v>17528.72</v>
      </c>
      <c r="E39" s="17">
        <f t="shared" si="7"/>
        <v>10015.42</v>
      </c>
      <c r="F39" s="17">
        <f t="shared" si="8"/>
        <v>14511.756099999999</v>
      </c>
    </row>
    <row r="40" spans="1:10" ht="17" x14ac:dyDescent="0.2">
      <c r="A40" s="10">
        <v>5</v>
      </c>
      <c r="B40" s="17">
        <f t="shared" si="4"/>
        <v>25200</v>
      </c>
      <c r="C40" s="17">
        <f t="shared" si="5"/>
        <v>2392.7149999999997</v>
      </c>
      <c r="D40" s="17">
        <f t="shared" si="6"/>
        <v>16682.36</v>
      </c>
      <c r="E40" s="17">
        <f t="shared" si="7"/>
        <v>9536.26</v>
      </c>
      <c r="F40" s="17">
        <f t="shared" si="8"/>
        <v>13852.356099999999</v>
      </c>
      <c r="J40" s="2" t="s">
        <v>11</v>
      </c>
    </row>
    <row r="41" spans="1:10" x14ac:dyDescent="0.2">
      <c r="A41" s="10">
        <v>6</v>
      </c>
      <c r="B41" s="17">
        <f t="shared" si="4"/>
        <v>22800</v>
      </c>
      <c r="C41" s="17">
        <f t="shared" si="5"/>
        <v>2168.5549999999998</v>
      </c>
      <c r="D41" s="17">
        <f t="shared" si="6"/>
        <v>14989.64</v>
      </c>
      <c r="E41" s="17">
        <f t="shared" si="7"/>
        <v>8577.9399999999987</v>
      </c>
      <c r="F41" s="17">
        <f t="shared" si="8"/>
        <v>12533.5561</v>
      </c>
    </row>
    <row r="42" spans="1:10" x14ac:dyDescent="0.2">
      <c r="A42" s="10">
        <v>7</v>
      </c>
      <c r="B42" s="17">
        <f t="shared" si="4"/>
        <v>24000</v>
      </c>
      <c r="C42" s="17">
        <f t="shared" si="5"/>
        <v>2280.6349999999998</v>
      </c>
      <c r="D42" s="17">
        <f t="shared" si="6"/>
        <v>15836</v>
      </c>
      <c r="E42" s="17">
        <f t="shared" si="7"/>
        <v>9057.0999999999985</v>
      </c>
      <c r="F42" s="17">
        <f t="shared" si="8"/>
        <v>13192.956099999999</v>
      </c>
    </row>
    <row r="43" spans="1:10" x14ac:dyDescent="0.2">
      <c r="A43" s="10">
        <v>8</v>
      </c>
      <c r="B43" s="17">
        <f t="shared" si="4"/>
        <v>21600</v>
      </c>
      <c r="C43" s="17">
        <f t="shared" si="5"/>
        <v>2056.4749999999999</v>
      </c>
      <c r="D43" s="17">
        <f t="shared" si="6"/>
        <v>14143.28</v>
      </c>
      <c r="E43" s="17">
        <f t="shared" si="7"/>
        <v>8098.7799999999988</v>
      </c>
      <c r="F43" s="17">
        <f t="shared" si="8"/>
        <v>11874.156099999998</v>
      </c>
    </row>
    <row r="44" spans="1:10" x14ac:dyDescent="0.2">
      <c r="A44" s="10">
        <v>9</v>
      </c>
      <c r="B44" s="17">
        <f t="shared" si="4"/>
        <v>12000</v>
      </c>
      <c r="C44" s="17">
        <f t="shared" si="5"/>
        <v>1159.835</v>
      </c>
      <c r="D44" s="17">
        <f t="shared" si="6"/>
        <v>7372.4000000000005</v>
      </c>
      <c r="E44" s="17">
        <f t="shared" si="7"/>
        <v>4265.4999999999991</v>
      </c>
      <c r="F44" s="17">
        <f t="shared" si="8"/>
        <v>6598.9561000000003</v>
      </c>
    </row>
    <row r="45" spans="1:10" x14ac:dyDescent="0.2">
      <c r="A45" s="10">
        <v>10</v>
      </c>
      <c r="B45" s="17">
        <f t="shared" si="4"/>
        <v>10800</v>
      </c>
      <c r="C45" s="17">
        <f t="shared" si="5"/>
        <v>1047.7549999999999</v>
      </c>
      <c r="D45" s="17">
        <f t="shared" si="6"/>
        <v>6526.0400000000009</v>
      </c>
      <c r="E45" s="17">
        <f t="shared" si="7"/>
        <v>3786.3399999999997</v>
      </c>
      <c r="F45" s="17">
        <f t="shared" si="8"/>
        <v>5939.5560999999998</v>
      </c>
    </row>
    <row r="46" spans="1:10" x14ac:dyDescent="0.2">
      <c r="A46" s="10">
        <v>11</v>
      </c>
      <c r="B46" s="17">
        <f t="shared" si="4"/>
        <v>8400</v>
      </c>
      <c r="C46" s="17">
        <f t="shared" si="5"/>
        <v>823.59499999999991</v>
      </c>
      <c r="D46" s="17">
        <f t="shared" si="6"/>
        <v>4833.3200000000006</v>
      </c>
      <c r="E46" s="17">
        <f t="shared" si="7"/>
        <v>2828.02</v>
      </c>
      <c r="F46" s="17">
        <f t="shared" si="8"/>
        <v>4620.7561000000005</v>
      </c>
    </row>
    <row r="47" spans="1:10" x14ac:dyDescent="0.2">
      <c r="A47" s="10">
        <v>12</v>
      </c>
      <c r="B47" s="18">
        <f t="shared" si="4"/>
        <v>6000</v>
      </c>
      <c r="C47" s="18">
        <f t="shared" si="5"/>
        <v>599.43499999999995</v>
      </c>
      <c r="D47" s="18">
        <f t="shared" si="6"/>
        <v>3140.6000000000004</v>
      </c>
      <c r="E47" s="18">
        <f t="shared" si="7"/>
        <v>1869.6999999999998</v>
      </c>
      <c r="F47" s="18">
        <f t="shared" si="8"/>
        <v>3301.9560999999999</v>
      </c>
    </row>
  </sheetData>
  <mergeCells count="5">
    <mergeCell ref="A1:G1"/>
    <mergeCell ref="A2:G2"/>
    <mergeCell ref="A16:B16"/>
    <mergeCell ref="A19:G19"/>
    <mergeCell ref="A34:E3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D3C8EE-B60F-C046-9F09-70118F191ABD}">
  <dimension ref="B1:K51"/>
  <sheetViews>
    <sheetView showGridLines="0" zoomScale="125" zoomScaleNormal="100" workbookViewId="0">
      <selection activeCell="B5" sqref="B5:B9"/>
    </sheetView>
  </sheetViews>
  <sheetFormatPr baseColWidth="10" defaultColWidth="24.1640625" defaultRowHeight="16" x14ac:dyDescent="0.2"/>
  <cols>
    <col min="1" max="1" width="4.83203125" style="20" customWidth="1"/>
    <col min="2" max="2" width="40.1640625" style="20" bestFit="1" customWidth="1"/>
    <col min="3" max="3" width="17" style="20" customWidth="1"/>
    <col min="4" max="4" width="13" style="20" customWidth="1"/>
    <col min="5" max="5" width="10.33203125" style="20" customWidth="1"/>
    <col min="6" max="6" width="14.83203125" style="20" customWidth="1"/>
    <col min="7" max="7" width="17" style="20" customWidth="1"/>
    <col min="8" max="8" width="19" style="20" customWidth="1"/>
    <col min="9" max="9" width="9.6640625" style="20" customWidth="1"/>
    <col min="10" max="10" width="44.83203125" style="20" customWidth="1"/>
    <col min="11" max="11" width="10.5" style="20" bestFit="1" customWidth="1"/>
    <col min="12" max="12" width="31.1640625" style="20" customWidth="1"/>
    <col min="13" max="13" width="9" style="20" bestFit="1" customWidth="1"/>
    <col min="14" max="16384" width="24.1640625" style="20"/>
  </cols>
  <sheetData>
    <row r="1" spans="2:11" ht="17" thickBot="1" x14ac:dyDescent="0.25">
      <c r="C1" s="21"/>
      <c r="D1" s="21"/>
    </row>
    <row r="2" spans="2:11" ht="34" customHeight="1" x14ac:dyDescent="0.2">
      <c r="B2" s="22" t="s">
        <v>85</v>
      </c>
      <c r="C2" s="23"/>
      <c r="D2" s="23"/>
      <c r="E2" s="24"/>
      <c r="F2" s="25"/>
      <c r="G2" s="22" t="s">
        <v>12</v>
      </c>
      <c r="H2" s="24"/>
      <c r="I2" s="25"/>
      <c r="J2" s="22" t="s">
        <v>13</v>
      </c>
      <c r="K2" s="24"/>
    </row>
    <row r="3" spans="2:11" ht="34" x14ac:dyDescent="0.2">
      <c r="B3" s="26"/>
      <c r="C3" s="27" t="s">
        <v>14</v>
      </c>
      <c r="D3" s="27" t="s">
        <v>15</v>
      </c>
      <c r="E3" s="28" t="s">
        <v>16</v>
      </c>
      <c r="G3" s="29" t="s">
        <v>17</v>
      </c>
      <c r="H3" s="30" t="s">
        <v>18</v>
      </c>
      <c r="I3" s="19"/>
      <c r="J3" s="31"/>
      <c r="K3" s="32" t="str">
        <f>D3</f>
        <v>20Х3</v>
      </c>
    </row>
    <row r="4" spans="2:11" ht="17" x14ac:dyDescent="0.2">
      <c r="B4" s="33" t="s">
        <v>19</v>
      </c>
      <c r="C4" s="34"/>
      <c r="D4" s="34"/>
      <c r="E4" s="35"/>
      <c r="G4" s="31"/>
      <c r="H4" s="35"/>
      <c r="J4" s="36" t="s">
        <v>20</v>
      </c>
      <c r="K4" s="37"/>
    </row>
    <row r="5" spans="2:11" ht="17" x14ac:dyDescent="0.2">
      <c r="B5" s="38" t="s">
        <v>21</v>
      </c>
      <c r="C5" s="39">
        <v>270</v>
      </c>
      <c r="D5" s="39">
        <v>340</v>
      </c>
      <c r="E5" s="40">
        <f>D5-C5</f>
        <v>70</v>
      </c>
      <c r="F5" s="41"/>
      <c r="G5" s="116">
        <f>IF(E5&lt;0,-E5,)</f>
        <v>0</v>
      </c>
      <c r="H5" s="117">
        <f>IF(E5&gt;0,E5,0)</f>
        <v>70</v>
      </c>
      <c r="I5" s="41"/>
      <c r="J5" s="31" t="s">
        <v>22</v>
      </c>
      <c r="K5" s="44">
        <f>E28</f>
        <v>70</v>
      </c>
    </row>
    <row r="6" spans="2:11" ht="17" x14ac:dyDescent="0.2">
      <c r="B6" s="38" t="s">
        <v>23</v>
      </c>
      <c r="C6" s="34">
        <v>40</v>
      </c>
      <c r="D6" s="34">
        <v>100</v>
      </c>
      <c r="E6" s="45">
        <f>D6-C6</f>
        <v>60</v>
      </c>
      <c r="F6" s="41"/>
      <c r="G6" s="116">
        <f t="shared" ref="G6:G9" si="0">IF(E6&lt;0,-E6,)</f>
        <v>0</v>
      </c>
      <c r="H6" s="117">
        <f t="shared" ref="H6:H9" si="1">IF(E6&gt;0,E6,0)</f>
        <v>60</v>
      </c>
      <c r="I6" s="41"/>
      <c r="J6" s="46" t="s">
        <v>24</v>
      </c>
      <c r="K6" s="47">
        <f>E14</f>
        <v>10</v>
      </c>
    </row>
    <row r="7" spans="2:11" ht="17" x14ac:dyDescent="0.2">
      <c r="B7" s="38" t="s">
        <v>25</v>
      </c>
      <c r="C7" s="34">
        <v>50</v>
      </c>
      <c r="D7" s="34">
        <v>40</v>
      </c>
      <c r="E7" s="48">
        <f t="shared" ref="E7:E31" si="2">D7-C7</f>
        <v>-10</v>
      </c>
      <c r="F7" s="41"/>
      <c r="G7" s="116">
        <f t="shared" si="0"/>
        <v>10</v>
      </c>
      <c r="H7" s="117">
        <f t="shared" si="1"/>
        <v>0</v>
      </c>
      <c r="I7" s="41"/>
      <c r="J7" s="31" t="s">
        <v>26</v>
      </c>
      <c r="K7" s="49">
        <f>G7</f>
        <v>10</v>
      </c>
    </row>
    <row r="8" spans="2:11" ht="17" x14ac:dyDescent="0.2">
      <c r="B8" s="38" t="s">
        <v>5</v>
      </c>
      <c r="C8" s="34">
        <v>30</v>
      </c>
      <c r="D8" s="34">
        <v>70</v>
      </c>
      <c r="E8" s="48">
        <f t="shared" si="2"/>
        <v>40</v>
      </c>
      <c r="F8" s="41"/>
      <c r="G8" s="116">
        <f t="shared" si="0"/>
        <v>0</v>
      </c>
      <c r="H8" s="117">
        <f t="shared" si="1"/>
        <v>40</v>
      </c>
      <c r="I8" s="41"/>
      <c r="J8" s="50" t="s">
        <v>27</v>
      </c>
      <c r="K8" s="51">
        <f>-H8</f>
        <v>-40</v>
      </c>
    </row>
    <row r="9" spans="2:11" ht="17" x14ac:dyDescent="0.2">
      <c r="B9" s="38" t="s">
        <v>28</v>
      </c>
      <c r="C9" s="34">
        <v>10</v>
      </c>
      <c r="D9" s="34">
        <v>20</v>
      </c>
      <c r="E9" s="48">
        <f t="shared" si="2"/>
        <v>10</v>
      </c>
      <c r="F9" s="41"/>
      <c r="G9" s="116">
        <f t="shared" si="0"/>
        <v>0</v>
      </c>
      <c r="H9" s="117">
        <f t="shared" si="1"/>
        <v>10</v>
      </c>
      <c r="I9" s="41"/>
      <c r="J9" s="50" t="s">
        <v>29</v>
      </c>
      <c r="K9" s="51">
        <f>-H9</f>
        <v>-10</v>
      </c>
    </row>
    <row r="10" spans="2:11" ht="17" x14ac:dyDescent="0.2">
      <c r="B10" s="52" t="s">
        <v>30</v>
      </c>
      <c r="C10" s="53">
        <f>SUM(C5:C9)</f>
        <v>400</v>
      </c>
      <c r="D10" s="54">
        <f>SUM(D5:D9)</f>
        <v>570</v>
      </c>
      <c r="E10" s="55">
        <f t="shared" si="2"/>
        <v>170</v>
      </c>
      <c r="F10" s="41"/>
      <c r="G10" s="31"/>
      <c r="H10" s="35"/>
      <c r="I10" s="41"/>
      <c r="J10" s="31" t="s">
        <v>31</v>
      </c>
      <c r="K10" s="56">
        <f>G12</f>
        <v>80</v>
      </c>
    </row>
    <row r="11" spans="2:11" ht="17" x14ac:dyDescent="0.2">
      <c r="B11" s="38" t="s">
        <v>32</v>
      </c>
      <c r="C11" s="57">
        <v>20</v>
      </c>
      <c r="D11" s="57">
        <v>70</v>
      </c>
      <c r="E11" s="48">
        <f t="shared" si="2"/>
        <v>50</v>
      </c>
      <c r="F11" s="41"/>
      <c r="G11" s="42">
        <f t="shared" ref="G11:G12" si="3">IF(E11&lt;0,-E11,)</f>
        <v>0</v>
      </c>
      <c r="H11" s="43">
        <f t="shared" ref="H11:H12" si="4">IF(E11&gt;0,E11,0)</f>
        <v>50</v>
      </c>
      <c r="I11" s="41"/>
      <c r="J11" s="31" t="s">
        <v>33</v>
      </c>
      <c r="K11" s="56">
        <f>-H20</f>
        <v>-10</v>
      </c>
    </row>
    <row r="12" spans="2:11" ht="17" x14ac:dyDescent="0.2">
      <c r="B12" s="38" t="s">
        <v>34</v>
      </c>
      <c r="C12" s="57">
        <v>90</v>
      </c>
      <c r="D12" s="57">
        <v>10</v>
      </c>
      <c r="E12" s="48">
        <f t="shared" si="2"/>
        <v>-80</v>
      </c>
      <c r="F12" s="41"/>
      <c r="G12" s="42">
        <f t="shared" si="3"/>
        <v>80</v>
      </c>
      <c r="H12" s="43">
        <f t="shared" si="4"/>
        <v>0</v>
      </c>
      <c r="I12" s="41"/>
      <c r="J12" s="31" t="s">
        <v>35</v>
      </c>
      <c r="K12" s="56">
        <f>G21</f>
        <v>60</v>
      </c>
    </row>
    <row r="13" spans="2:11" ht="34" x14ac:dyDescent="0.2">
      <c r="B13" s="38" t="s">
        <v>36</v>
      </c>
      <c r="C13" s="34">
        <v>300</v>
      </c>
      <c r="D13" s="34">
        <v>400</v>
      </c>
      <c r="E13" s="58">
        <f t="shared" si="2"/>
        <v>100</v>
      </c>
      <c r="F13" s="41"/>
      <c r="G13" s="31"/>
      <c r="H13" s="35"/>
      <c r="I13" s="41"/>
      <c r="J13" s="31" t="s">
        <v>37</v>
      </c>
      <c r="K13" s="56">
        <f>G23</f>
        <v>20</v>
      </c>
    </row>
    <row r="14" spans="2:11" ht="34" x14ac:dyDescent="0.2">
      <c r="B14" s="59" t="s">
        <v>38</v>
      </c>
      <c r="C14" s="34">
        <v>30</v>
      </c>
      <c r="D14" s="34">
        <v>40</v>
      </c>
      <c r="E14" s="47">
        <f t="shared" si="2"/>
        <v>10</v>
      </c>
      <c r="F14" s="41"/>
      <c r="G14" s="31"/>
      <c r="H14" s="35"/>
      <c r="I14" s="41"/>
      <c r="J14" s="60" t="s">
        <v>39</v>
      </c>
      <c r="K14" s="55">
        <f>SUM(K5:K13)</f>
        <v>190</v>
      </c>
    </row>
    <row r="15" spans="2:11" ht="17" x14ac:dyDescent="0.2">
      <c r="B15" s="59" t="s">
        <v>40</v>
      </c>
      <c r="C15" s="34">
        <f>C13-C14</f>
        <v>270</v>
      </c>
      <c r="D15" s="34">
        <f>D13-D14</f>
        <v>360</v>
      </c>
      <c r="E15" s="48">
        <f t="shared" si="2"/>
        <v>90</v>
      </c>
      <c r="F15" s="61"/>
      <c r="G15" s="116">
        <f>IF(E15&lt;0,-E15,)</f>
        <v>0</v>
      </c>
      <c r="H15" s="118">
        <f t="shared" ref="H15" si="5">IF(E15&gt;0,E15,0)</f>
        <v>90</v>
      </c>
      <c r="I15" s="41"/>
      <c r="J15" s="36" t="s">
        <v>41</v>
      </c>
      <c r="K15" s="62"/>
    </row>
    <row r="16" spans="2:11" ht="17" x14ac:dyDescent="0.2">
      <c r="B16" s="52" t="s">
        <v>42</v>
      </c>
      <c r="C16" s="63">
        <f>SUM(C11:C12)+C15</f>
        <v>380</v>
      </c>
      <c r="D16" s="63">
        <f>SUM(D11:D12)+D15</f>
        <v>440</v>
      </c>
      <c r="E16" s="55">
        <f t="shared" si="2"/>
        <v>60</v>
      </c>
      <c r="F16" s="41"/>
      <c r="G16" s="31"/>
      <c r="H16" s="35"/>
      <c r="I16" s="41"/>
      <c r="J16" s="31" t="s">
        <v>43</v>
      </c>
      <c r="K16" s="64">
        <f>-E13</f>
        <v>-100</v>
      </c>
    </row>
    <row r="17" spans="2:11" ht="17" x14ac:dyDescent="0.2">
      <c r="B17" s="52" t="s">
        <v>44</v>
      </c>
      <c r="C17" s="63">
        <f>C10+C16</f>
        <v>780</v>
      </c>
      <c r="D17" s="63">
        <f>D10+D16</f>
        <v>1010</v>
      </c>
      <c r="E17" s="48">
        <f t="shared" si="2"/>
        <v>230</v>
      </c>
      <c r="F17" s="41"/>
      <c r="G17" s="31"/>
      <c r="H17" s="35"/>
      <c r="I17" s="41"/>
      <c r="J17" s="31" t="s">
        <v>45</v>
      </c>
      <c r="K17" s="56">
        <f>-H6</f>
        <v>-60</v>
      </c>
    </row>
    <row r="18" spans="2:11" ht="17" x14ac:dyDescent="0.2">
      <c r="B18" s="65" t="s">
        <v>46</v>
      </c>
      <c r="C18" s="34"/>
      <c r="D18" s="34"/>
      <c r="E18" s="48">
        <f t="shared" si="2"/>
        <v>0</v>
      </c>
      <c r="F18" s="41"/>
      <c r="G18" s="31"/>
      <c r="H18" s="35"/>
      <c r="I18" s="41"/>
      <c r="J18" s="31" t="s">
        <v>47</v>
      </c>
      <c r="K18" s="56">
        <f>-H11</f>
        <v>-50</v>
      </c>
    </row>
    <row r="19" spans="2:11" ht="34" x14ac:dyDescent="0.2">
      <c r="B19" s="38" t="s">
        <v>48</v>
      </c>
      <c r="C19" s="34">
        <v>100</v>
      </c>
      <c r="D19" s="34">
        <v>230</v>
      </c>
      <c r="E19" s="48">
        <f t="shared" si="2"/>
        <v>130</v>
      </c>
      <c r="F19" s="41"/>
      <c r="G19" s="66">
        <f>-IF(E19&gt;0,-E19,0)</f>
        <v>130</v>
      </c>
      <c r="H19" s="67">
        <f>IF(E19&lt;0,-E19,0)</f>
        <v>0</v>
      </c>
      <c r="I19" s="41"/>
      <c r="J19" s="60" t="s">
        <v>49</v>
      </c>
      <c r="K19" s="55">
        <f>SUM(K16:K18)</f>
        <v>-210</v>
      </c>
    </row>
    <row r="20" spans="2:11" ht="34" x14ac:dyDescent="0.2">
      <c r="B20" s="38" t="s">
        <v>50</v>
      </c>
      <c r="C20" s="34">
        <v>60</v>
      </c>
      <c r="D20" s="34">
        <v>50</v>
      </c>
      <c r="E20" s="48">
        <f t="shared" si="2"/>
        <v>-10</v>
      </c>
      <c r="F20" s="41"/>
      <c r="G20" s="66">
        <f t="shared" ref="G20:G21" si="6">-IF(E20&gt;0,-E20,0)</f>
        <v>0</v>
      </c>
      <c r="H20" s="67">
        <f t="shared" ref="H20:H21" si="7">IF(E20&lt;0,-E20,0)</f>
        <v>10</v>
      </c>
      <c r="I20" s="41"/>
      <c r="J20" s="68" t="s">
        <v>51</v>
      </c>
      <c r="K20" s="62"/>
    </row>
    <row r="21" spans="2:11" ht="17" x14ac:dyDescent="0.2">
      <c r="B21" s="38" t="s">
        <v>52</v>
      </c>
      <c r="C21" s="34">
        <v>20</v>
      </c>
      <c r="D21" s="34">
        <v>80</v>
      </c>
      <c r="E21" s="48">
        <f t="shared" si="2"/>
        <v>60</v>
      </c>
      <c r="F21" s="41"/>
      <c r="G21" s="66">
        <f t="shared" si="6"/>
        <v>60</v>
      </c>
      <c r="H21" s="67">
        <f t="shared" si="7"/>
        <v>0</v>
      </c>
      <c r="I21" s="41"/>
      <c r="J21" s="31" t="s">
        <v>53</v>
      </c>
      <c r="K21" s="69">
        <f>G19</f>
        <v>130</v>
      </c>
    </row>
    <row r="22" spans="2:11" ht="17" x14ac:dyDescent="0.2">
      <c r="B22" s="52" t="s">
        <v>54</v>
      </c>
      <c r="C22" s="53">
        <f>SUM(C19:C21)</f>
        <v>180</v>
      </c>
      <c r="D22" s="54">
        <f>SUM(D19:D21)</f>
        <v>360</v>
      </c>
      <c r="E22" s="55">
        <f t="shared" si="2"/>
        <v>180</v>
      </c>
      <c r="F22" s="41"/>
      <c r="G22" s="31"/>
      <c r="H22" s="35"/>
      <c r="I22" s="41"/>
      <c r="J22" s="31" t="s">
        <v>55</v>
      </c>
      <c r="K22" s="69">
        <f>-H24</f>
        <v>-20</v>
      </c>
    </row>
    <row r="23" spans="2:11" ht="17" x14ac:dyDescent="0.2">
      <c r="B23" s="38" t="s">
        <v>56</v>
      </c>
      <c r="C23" s="34">
        <v>70</v>
      </c>
      <c r="D23" s="34">
        <v>90</v>
      </c>
      <c r="E23" s="48">
        <f t="shared" si="2"/>
        <v>20</v>
      </c>
      <c r="F23" s="41"/>
      <c r="G23" s="66">
        <f t="shared" ref="G23:G24" si="8">-IF(E23&gt;0,-E23,0)</f>
        <v>20</v>
      </c>
      <c r="H23" s="67">
        <f t="shared" ref="H23:H24" si="9">IF(E23&lt;0,-E23,0)</f>
        <v>0</v>
      </c>
      <c r="I23" s="41"/>
      <c r="J23" s="31" t="s">
        <v>57</v>
      </c>
      <c r="K23" s="69">
        <f>-H27</f>
        <v>-20</v>
      </c>
    </row>
    <row r="24" spans="2:11" ht="34" x14ac:dyDescent="0.2">
      <c r="B24" s="38" t="s">
        <v>58</v>
      </c>
      <c r="C24" s="34">
        <v>100</v>
      </c>
      <c r="D24" s="34">
        <v>80</v>
      </c>
      <c r="E24" s="48">
        <f t="shared" si="2"/>
        <v>-20</v>
      </c>
      <c r="F24" s="41"/>
      <c r="G24" s="66">
        <f t="shared" si="8"/>
        <v>0</v>
      </c>
      <c r="H24" s="67">
        <f t="shared" si="9"/>
        <v>20</v>
      </c>
      <c r="I24" s="41"/>
      <c r="J24" s="70" t="s">
        <v>59</v>
      </c>
      <c r="K24" s="71">
        <f>SUM(K21:K23)</f>
        <v>90</v>
      </c>
    </row>
    <row r="25" spans="2:11" ht="17" x14ac:dyDescent="0.2">
      <c r="B25" s="52" t="s">
        <v>60</v>
      </c>
      <c r="C25" s="53">
        <f>SUM(C23:C24)</f>
        <v>170</v>
      </c>
      <c r="D25" s="54">
        <f>SUM(D23:D24)</f>
        <v>170</v>
      </c>
      <c r="E25" s="55">
        <f t="shared" si="2"/>
        <v>0</v>
      </c>
      <c r="F25" s="41"/>
      <c r="G25" s="31"/>
      <c r="H25" s="35"/>
      <c r="I25" s="41"/>
      <c r="J25" s="70" t="s">
        <v>61</v>
      </c>
      <c r="K25" s="72">
        <f>K14+K19+K24</f>
        <v>70</v>
      </c>
    </row>
    <row r="26" spans="2:11" ht="17" x14ac:dyDescent="0.2">
      <c r="B26" s="38" t="s">
        <v>62</v>
      </c>
      <c r="C26" s="34">
        <v>200</v>
      </c>
      <c r="D26" s="34">
        <v>200</v>
      </c>
      <c r="E26" s="48">
        <f t="shared" si="2"/>
        <v>0</v>
      </c>
      <c r="F26" s="41"/>
      <c r="G26" s="66">
        <f t="shared" ref="G26:G28" si="10">-IF(E26&gt;0,-E26,0)</f>
        <v>0</v>
      </c>
      <c r="H26" s="67">
        <f t="shared" ref="H26:H28" si="11">IF(E26&lt;0,-E26,0)</f>
        <v>0</v>
      </c>
      <c r="I26" s="41"/>
      <c r="J26" s="31" t="s">
        <v>63</v>
      </c>
      <c r="K26" s="73">
        <f>C5</f>
        <v>270</v>
      </c>
    </row>
    <row r="27" spans="2:11" ht="17" x14ac:dyDescent="0.2">
      <c r="B27" s="38" t="s">
        <v>64</v>
      </c>
      <c r="C27" s="34">
        <v>90</v>
      </c>
      <c r="D27" s="34">
        <v>70</v>
      </c>
      <c r="E27" s="48">
        <f t="shared" si="2"/>
        <v>-20</v>
      </c>
      <c r="F27" s="41"/>
      <c r="G27" s="66">
        <f t="shared" si="10"/>
        <v>0</v>
      </c>
      <c r="H27" s="67">
        <f t="shared" si="11"/>
        <v>20</v>
      </c>
      <c r="I27" s="41"/>
      <c r="J27" s="31" t="s">
        <v>65</v>
      </c>
      <c r="K27" s="73">
        <f>D5</f>
        <v>340</v>
      </c>
    </row>
    <row r="28" spans="2:11" ht="17" x14ac:dyDescent="0.2">
      <c r="B28" s="38" t="s">
        <v>66</v>
      </c>
      <c r="C28" s="34">
        <v>140</v>
      </c>
      <c r="D28" s="34">
        <v>210</v>
      </c>
      <c r="E28" s="73">
        <f t="shared" si="2"/>
        <v>70</v>
      </c>
      <c r="F28" s="61"/>
      <c r="G28" s="66">
        <f t="shared" si="10"/>
        <v>70</v>
      </c>
      <c r="H28" s="67">
        <f t="shared" si="11"/>
        <v>0</v>
      </c>
      <c r="I28" s="41"/>
      <c r="J28" s="33"/>
      <c r="K28" s="35"/>
    </row>
    <row r="29" spans="2:11" ht="17" x14ac:dyDescent="0.2">
      <c r="B29" s="52" t="s">
        <v>67</v>
      </c>
      <c r="C29" s="53">
        <f>SUM(C26:C28)</f>
        <v>430</v>
      </c>
      <c r="D29" s="54">
        <f>SUM(D26:D28)</f>
        <v>480</v>
      </c>
      <c r="E29" s="55">
        <f t="shared" si="2"/>
        <v>50</v>
      </c>
      <c r="F29" s="41"/>
      <c r="G29" s="31"/>
      <c r="H29" s="35"/>
      <c r="I29" s="41"/>
      <c r="J29" s="74"/>
      <c r="K29" s="75"/>
    </row>
    <row r="30" spans="2:11" ht="18" thickBot="1" x14ac:dyDescent="0.25">
      <c r="B30" s="60" t="s">
        <v>68</v>
      </c>
      <c r="C30" s="63">
        <f>C29+C22+C25</f>
        <v>780</v>
      </c>
      <c r="D30" s="63">
        <f>D29+D22+D25</f>
        <v>1010</v>
      </c>
      <c r="E30" s="55">
        <f t="shared" si="2"/>
        <v>230</v>
      </c>
      <c r="F30" s="41"/>
      <c r="G30" s="31"/>
      <c r="H30" s="35"/>
      <c r="I30" s="41"/>
      <c r="J30" s="76"/>
      <c r="K30" s="77"/>
    </row>
    <row r="31" spans="2:11" ht="17" x14ac:dyDescent="0.2">
      <c r="B31" s="31" t="s">
        <v>69</v>
      </c>
      <c r="C31" s="34">
        <f>C30-C17</f>
        <v>0</v>
      </c>
      <c r="D31" s="34">
        <f>D30-D17</f>
        <v>0</v>
      </c>
      <c r="E31" s="48">
        <f t="shared" si="2"/>
        <v>0</v>
      </c>
      <c r="F31" s="41"/>
      <c r="G31" s="31"/>
      <c r="H31" s="35"/>
      <c r="I31" s="41"/>
    </row>
    <row r="32" spans="2:11" ht="18" thickBot="1" x14ac:dyDescent="0.25">
      <c r="B32" s="78" t="s">
        <v>70</v>
      </c>
      <c r="C32" s="79"/>
      <c r="D32" s="79"/>
      <c r="E32" s="80"/>
      <c r="F32" s="19"/>
      <c r="G32" s="81">
        <f>SUM(G5:G30)</f>
        <v>370</v>
      </c>
      <c r="H32" s="82">
        <f>SUM(H5:H30)</f>
        <v>370</v>
      </c>
      <c r="I32" s="83"/>
    </row>
    <row r="36" spans="2:11" ht="17" thickBot="1" x14ac:dyDescent="0.25"/>
    <row r="37" spans="2:11" ht="46" customHeight="1" x14ac:dyDescent="0.2">
      <c r="B37" s="84"/>
      <c r="C37" s="85" t="s">
        <v>71</v>
      </c>
      <c r="D37" s="86" t="str">
        <f>C3</f>
        <v>20Х2</v>
      </c>
      <c r="E37" s="86" t="str">
        <f>D3</f>
        <v>20Х3</v>
      </c>
      <c r="F37" s="85" t="s">
        <v>72</v>
      </c>
      <c r="G37" s="85" t="s">
        <v>73</v>
      </c>
      <c r="H37" s="87" t="s">
        <v>74</v>
      </c>
      <c r="I37" s="88"/>
      <c r="J37" s="88"/>
      <c r="K37" s="88"/>
    </row>
    <row r="38" spans="2:11" ht="18" customHeight="1" x14ac:dyDescent="0.2">
      <c r="B38" s="89" t="s">
        <v>75</v>
      </c>
      <c r="C38" s="90" t="s">
        <v>76</v>
      </c>
      <c r="D38" s="91">
        <f>C10/C22</f>
        <v>2.2222222222222223</v>
      </c>
      <c r="E38" s="92">
        <f>D10/D22</f>
        <v>1.5833333333333333</v>
      </c>
      <c r="F38" s="93">
        <f>E38-D38</f>
        <v>-0.63888888888888906</v>
      </c>
      <c r="G38" s="94">
        <f>E38/D38</f>
        <v>0.71249999999999991</v>
      </c>
      <c r="H38" s="95">
        <f>F38/D38</f>
        <v>-0.28750000000000009</v>
      </c>
      <c r="I38" s="88"/>
      <c r="J38" s="88"/>
      <c r="K38" s="88"/>
    </row>
    <row r="39" spans="2:11" ht="20" x14ac:dyDescent="0.2">
      <c r="B39" s="89" t="s">
        <v>77</v>
      </c>
      <c r="C39" s="90" t="s">
        <v>78</v>
      </c>
      <c r="D39" s="91">
        <f>(C5+C6+C7)/C22</f>
        <v>2</v>
      </c>
      <c r="E39" s="96">
        <f>(D5+D6+D7)/D22</f>
        <v>1.3333333333333333</v>
      </c>
      <c r="F39" s="93">
        <f>E39-D39</f>
        <v>-0.66666666666666674</v>
      </c>
      <c r="G39" s="94">
        <f>E39/D39</f>
        <v>0.66666666666666663</v>
      </c>
      <c r="H39" s="95">
        <f>F39/D39</f>
        <v>-0.33333333333333337</v>
      </c>
      <c r="I39" s="88"/>
      <c r="J39" s="88"/>
      <c r="K39" s="88"/>
    </row>
    <row r="40" spans="2:11" ht="40" x14ac:dyDescent="0.2">
      <c r="B40" s="89" t="s">
        <v>79</v>
      </c>
      <c r="C40" s="90" t="s">
        <v>80</v>
      </c>
      <c r="D40" s="91">
        <f>(C5+C6)/C22</f>
        <v>1.7222222222222223</v>
      </c>
      <c r="E40" s="96">
        <f>(D5+D6)/D22</f>
        <v>1.2222222222222223</v>
      </c>
      <c r="F40" s="93">
        <f>E40-D40</f>
        <v>-0.5</v>
      </c>
      <c r="G40" s="94">
        <f>E40/D40</f>
        <v>0.70967741935483875</v>
      </c>
      <c r="H40" s="95">
        <f>F40/D40</f>
        <v>-0.29032258064516125</v>
      </c>
      <c r="I40" s="88"/>
      <c r="J40" s="88"/>
      <c r="K40" s="88"/>
    </row>
    <row r="41" spans="2:11" ht="20" x14ac:dyDescent="0.25">
      <c r="B41" s="89" t="s">
        <v>81</v>
      </c>
      <c r="C41" s="90" t="s">
        <v>82</v>
      </c>
      <c r="D41" s="97">
        <f>-0.3877-1.0736*C10/C22+0.579*(C22+C25)/C29</f>
        <v>-2.3021987080103363</v>
      </c>
      <c r="E41" s="98">
        <f>-0.3877-1.0736*D10/D22+0.579*(D22+D25)/D29</f>
        <v>-1.4482541666666671</v>
      </c>
      <c r="F41" s="93">
        <f>E41-D41</f>
        <v>0.85394454134366926</v>
      </c>
      <c r="G41" s="94">
        <f>E41/D41</f>
        <v>0.62907435471472117</v>
      </c>
      <c r="H41" s="95">
        <f>-F41/D41</f>
        <v>0.37092564528527883</v>
      </c>
      <c r="I41" s="88"/>
      <c r="J41" s="88"/>
      <c r="K41" s="88"/>
    </row>
    <row r="42" spans="2:11" ht="17" thickBot="1" x14ac:dyDescent="0.25">
      <c r="B42" s="99"/>
      <c r="C42" s="100"/>
      <c r="D42" s="101"/>
      <c r="E42" s="101"/>
      <c r="F42" s="101"/>
      <c r="G42" s="101"/>
      <c r="H42" s="102"/>
      <c r="I42" s="88"/>
      <c r="J42" s="88"/>
      <c r="K42" s="88"/>
    </row>
    <row r="45" spans="2:11" ht="204" customHeight="1" x14ac:dyDescent="0.2">
      <c r="B45" s="103" t="s">
        <v>83</v>
      </c>
      <c r="C45" s="104"/>
      <c r="D45" s="104"/>
      <c r="E45" s="105" t="s">
        <v>84</v>
      </c>
      <c r="F45" s="105"/>
      <c r="G45" s="105"/>
      <c r="H45" s="105"/>
    </row>
    <row r="46" spans="2:11" ht="16" customHeight="1" x14ac:dyDescent="0.2">
      <c r="B46" s="106"/>
      <c r="C46" s="106"/>
      <c r="D46" s="106"/>
      <c r="E46" s="106"/>
    </row>
    <row r="47" spans="2:11" ht="16" customHeight="1" x14ac:dyDescent="0.2">
      <c r="B47" s="106"/>
      <c r="C47" s="106"/>
      <c r="D47" s="106"/>
      <c r="E47" s="106"/>
    </row>
    <row r="48" spans="2:11" ht="16" customHeight="1" x14ac:dyDescent="0.2">
      <c r="B48" s="106"/>
      <c r="C48" s="106"/>
      <c r="D48" s="106"/>
      <c r="E48" s="106"/>
    </row>
    <row r="49" spans="2:9" ht="16" customHeight="1" x14ac:dyDescent="0.2">
      <c r="B49" s="106"/>
      <c r="C49" s="106"/>
      <c r="D49" s="106"/>
      <c r="E49" s="106"/>
      <c r="G49" s="107"/>
      <c r="H49" s="107"/>
      <c r="I49" s="107"/>
    </row>
    <row r="50" spans="2:9" ht="16" customHeight="1" x14ac:dyDescent="0.2">
      <c r="B50" s="106"/>
      <c r="C50" s="106"/>
      <c r="D50" s="106"/>
      <c r="E50" s="106"/>
      <c r="G50" s="108"/>
      <c r="H50" s="108"/>
      <c r="I50" s="108"/>
    </row>
    <row r="51" spans="2:9" ht="16" customHeight="1" x14ac:dyDescent="0.2">
      <c r="B51" s="106"/>
      <c r="C51" s="106"/>
      <c r="D51" s="106"/>
      <c r="E51" s="106"/>
      <c r="G51" s="108"/>
      <c r="H51" s="108"/>
      <c r="I51" s="108"/>
    </row>
  </sheetData>
  <mergeCells count="6">
    <mergeCell ref="B2:E2"/>
    <mergeCell ref="G2:H2"/>
    <mergeCell ref="J2:K2"/>
    <mergeCell ref="I37:K42"/>
    <mergeCell ref="B45:D45"/>
    <mergeCell ref="E45:H4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БАЛАНС</vt:lpstr>
      <vt:lpstr>ДДС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MatsoffAcademy@gmil.com</dc:creator>
  <cp:lastModifiedBy>MatsoffAcademy@gmil.com</cp:lastModifiedBy>
  <dcterms:created xsi:type="dcterms:W3CDTF">2023-08-23T03:33:00Z</dcterms:created>
  <dcterms:modified xsi:type="dcterms:W3CDTF">2023-08-23T06:12:38Z</dcterms:modified>
</cp:coreProperties>
</file>